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codeName="ThisWorkbook"/>
  <mc:AlternateContent xmlns:mc="http://schemas.openxmlformats.org/markup-compatibility/2006">
    <mc:Choice Requires="x15">
      <x15ac:absPath xmlns:x15ac="http://schemas.microsoft.com/office/spreadsheetml/2010/11/ac" url="https://michiganstate-my.sharepoint.com/personal/laportej_msu_edu/Documents/Documents/Farm Management Files/Budgets &amp; Tools/Crop Budgets/Estimating Tool (Corn Soybeans Wheat)/Published Version/"/>
    </mc:Choice>
  </mc:AlternateContent>
  <xr:revisionPtr revIDLastSave="38" documentId="8_{614255A3-82E4-43B9-AC6D-76C4D8648654}" xr6:coauthVersionLast="45" xr6:coauthVersionMax="45" xr10:uidLastSave="{439A11BB-5862-4221-9431-D861F49B2318}"/>
  <workbookProtection workbookAlgorithmName="SHA-512" workbookHashValue="uarTsfUeewWRlAFx0pT0X2opbNLioDEJ69+SMH4WRfhfm+ln8/ZsJ6+iXmZcpetkOeasr+CW9v78hxFF8tAbHg==" workbookSaltValue="AfndzoC2YpBDpZDNJgSEZA==" workbookSpinCount="100000" lockStructure="1"/>
  <bookViews>
    <workbookView xWindow="28680" yWindow="-120" windowWidth="29040" windowHeight="15840" tabRatio="947" xr2:uid="{00000000-000D-0000-FFFF-FFFF00000000}"/>
  </bookViews>
  <sheets>
    <sheet name="Instructions" sheetId="16" r:id="rId1"/>
    <sheet name="Crop Budget (Main)" sheetId="1" r:id="rId2"/>
    <sheet name="Variable &amp; Fixed" sheetId="6" r:id="rId3"/>
    <sheet name="Chemical Plan" sheetId="8" r:id="rId4"/>
    <sheet name="Adjuvant Help Guide" sheetId="17" r:id="rId5"/>
    <sheet name="Nutrient Management" sheetId="25" r:id="rId6"/>
    <sheet name="Corn K Calculations" sheetId="26" state="hidden" r:id="rId7"/>
    <sheet name="Soybean K Calculations" sheetId="27" state="hidden" r:id="rId8"/>
    <sheet name="Wheat K Calculations" sheetId="28" state="hidden" r:id="rId9"/>
    <sheet name="Fertilizer Pricing" sheetId="3" r:id="rId10"/>
    <sheet name="Fertilizer Plan" sheetId="9" r:id="rId11"/>
    <sheet name="Loans &amp; Financing" sheetId="2" r:id="rId12"/>
    <sheet name="Capital &amp; Opportunity" sheetId="19" r:id="rId13"/>
    <sheet name="Gov't Payments" sheetId="20" r:id="rId14"/>
    <sheet name="Optimization" sheetId="23" r:id="rId15"/>
    <sheet name="Chemical List (Corn)" sheetId="4" state="hidden" r:id="rId16"/>
    <sheet name="Chemical List (Soys)" sheetId="21" state="hidden" r:id="rId17"/>
    <sheet name="Chemical List (Wheat)" sheetId="22" state="hidden" r:id="rId18"/>
    <sheet name="Charts" sheetId="24" state="hidden" r:id="rId19"/>
  </sheets>
  <externalReferences>
    <externalReference r:id="rId20"/>
  </externalReferences>
  <definedNames>
    <definedName name="CornAdjuvants">'Chemical List (Corn)'!$A$91:$D$97</definedName>
    <definedName name="CornFungicides">'Chemical List (Corn)'!$A$101:$D$116</definedName>
    <definedName name="CornInsecticides">'Chemical List (Corn)'!$A$131:$D$173</definedName>
    <definedName name="CornPostChemicals">'Chemical List (Corn)'!$A$48:$F$88</definedName>
    <definedName name="CornPreChemicals">'Chemical List (Corn)'!$A$4:$F$45</definedName>
    <definedName name="Foliars">'Chemical List (Corn)'!$A$101:$A$108</definedName>
    <definedName name="Lime">'Fertilizer Pricing'!$A$39:$N$43</definedName>
    <definedName name="Macronutrients">'Fertilizer Pricing'!$A$4:$N$27</definedName>
    <definedName name="Micronutrients">'Fertilizer Pricing'!$A$31:$N$35</definedName>
    <definedName name="Moisture">'[1]Grain Handling'!$C$51:$C$66</definedName>
    <definedName name="NitrogenStabilizers">'Fertilizer Pricing'!$A$47:$N$53</definedName>
    <definedName name="_xlnm.Print_Area" localSheetId="12">'Capital &amp; Opportunity'!$A$1:$H$53</definedName>
    <definedName name="_xlnm.Print_Area" localSheetId="3">'Chemical Plan'!$A$1:$H$69,'Chemical Plan'!$K$1:$R$69,'Chemical Plan'!$U$1:$AB$69</definedName>
    <definedName name="_xlnm.Print_Area" localSheetId="1">'Crop Budget (Main)'!$A$1:$S$75,'Crop Budget (Main)'!$A$77:$M$139,'Crop Budget (Main)'!$A$140:$S$200</definedName>
    <definedName name="_xlnm.Print_Area" localSheetId="10">'Fertilizer Plan'!$A$1:$K$82,'Fertilizer Plan'!$M$1:$W$82,'Fertilizer Plan'!$Y$1:$AI$82</definedName>
    <definedName name="_xlnm.Print_Area" localSheetId="9">'Fertilizer Pricing'!$A$1:$V$53</definedName>
    <definedName name="_xlnm.Print_Area" localSheetId="0">Instructions!$A$1:$R$44</definedName>
    <definedName name="_xlnm.Print_Area" localSheetId="11">'Loans &amp; Financing'!$B$1:$J$44,'Loans &amp; Financing'!$L$5:$V$15</definedName>
    <definedName name="_xlnm.Print_Area" localSheetId="14">Optimization!$A$1:$G$16</definedName>
    <definedName name="solver_adj" localSheetId="14" hidden="1">Optimization!$D$4:$D$6</definedName>
    <definedName name="solver_cvg" localSheetId="14" hidden="1">0.0001</definedName>
    <definedName name="solver_drv" localSheetId="14" hidden="1">2</definedName>
    <definedName name="solver_eng" localSheetId="14" hidden="1">2</definedName>
    <definedName name="solver_est" localSheetId="14" hidden="1">1</definedName>
    <definedName name="solver_itr" localSheetId="14" hidden="1">2147483647</definedName>
    <definedName name="solver_lhs1" localSheetId="14" hidden="1">Optimization!$C$9</definedName>
    <definedName name="solver_lhs2" localSheetId="14" hidden="1">Optimization!$C$10</definedName>
    <definedName name="solver_lhs3" localSheetId="14" hidden="1">Optimization!$C$11</definedName>
    <definedName name="solver_lhs4" localSheetId="14" hidden="1">Optimization!$C$12</definedName>
    <definedName name="solver_lhs5" localSheetId="14" hidden="1">Optimization!$C$13</definedName>
    <definedName name="solver_lhs6" localSheetId="14" hidden="1">Optimization!$D$4:$D$6</definedName>
    <definedName name="solver_lhs7" localSheetId="14" hidden="1">Optimization!$J$9:$J$11</definedName>
    <definedName name="solver_mip" localSheetId="14" hidden="1">2147483647</definedName>
    <definedName name="solver_mni" localSheetId="14" hidden="1">30</definedName>
    <definedName name="solver_mrt" localSheetId="14" hidden="1">0.075</definedName>
    <definedName name="solver_msl" localSheetId="14" hidden="1">2</definedName>
    <definedName name="solver_neg" localSheetId="14" hidden="1">1</definedName>
    <definedName name="solver_nod" localSheetId="14" hidden="1">2147483647</definedName>
    <definedName name="solver_num" localSheetId="14" hidden="1">7</definedName>
    <definedName name="solver_nwt" localSheetId="14" hidden="1">1</definedName>
    <definedName name="solver_opt" localSheetId="14" hidden="1">Optimization!$C$15</definedName>
    <definedName name="solver_pre" localSheetId="14" hidden="1">0.000001</definedName>
    <definedName name="solver_rbv" localSheetId="14" hidden="1">2</definedName>
    <definedName name="solver_rel1" localSheetId="14" hidden="1">1</definedName>
    <definedName name="solver_rel2" localSheetId="14" hidden="1">3</definedName>
    <definedName name="solver_rel3" localSheetId="14" hidden="1">3</definedName>
    <definedName name="solver_rel4" localSheetId="14" hidden="1">3</definedName>
    <definedName name="solver_rel5" localSheetId="14" hidden="1">2</definedName>
    <definedName name="solver_rel6" localSheetId="14" hidden="1">4</definedName>
    <definedName name="solver_rel7" localSheetId="14" hidden="1">1</definedName>
    <definedName name="solver_rhs1" localSheetId="14" hidden="1">Optimization!$E$9</definedName>
    <definedName name="solver_rhs2" localSheetId="14" hidden="1">Optimization!$E$10</definedName>
    <definedName name="solver_rhs3" localSheetId="14" hidden="1">Optimization!$E$11</definedName>
    <definedName name="solver_rhs4" localSheetId="14" hidden="1">Optimization!$E$12</definedName>
    <definedName name="solver_rhs5" localSheetId="14" hidden="1">Optimization!$E$13</definedName>
    <definedName name="solver_rhs6" localSheetId="14" hidden="1">integer</definedName>
    <definedName name="solver_rhs7" localSheetId="14" hidden="1">Optimization!$L$9:$L$11</definedName>
    <definedName name="solver_rlx" localSheetId="14" hidden="1">2</definedName>
    <definedName name="solver_rsd" localSheetId="14" hidden="1">0</definedName>
    <definedName name="solver_scl" localSheetId="14" hidden="1">2</definedName>
    <definedName name="solver_sho" localSheetId="14" hidden="1">2</definedName>
    <definedName name="solver_ssz" localSheetId="14" hidden="1">100</definedName>
    <definedName name="solver_tim" localSheetId="14" hidden="1">2147483647</definedName>
    <definedName name="solver_tol" localSheetId="14" hidden="1">0.01</definedName>
    <definedName name="solver_typ" localSheetId="14" hidden="1">1</definedName>
    <definedName name="solver_val" localSheetId="14" hidden="1">0</definedName>
    <definedName name="solver_ver" localSheetId="14" hidden="1">3</definedName>
    <definedName name="SoybeanFungicides">'Chemical List (Soys)'!$A$103:$D$120</definedName>
    <definedName name="SoybeanInsecticides">'Chemical List (Soys)'!$A$133:$D$171</definedName>
    <definedName name="SoybeanPostChemicals">'Chemical List (Soys)'!$A$52:$F$85</definedName>
    <definedName name="SoybeanPreChemicals">'Chemical List (Soys)'!$A$4:$F$50</definedName>
    <definedName name="WheatChemicals">'Chemical List (Wheat)'!$A$4:$F$27</definedName>
    <definedName name="WheatFungicides">'Chemical List (Wheat)'!$A$31:$D$48</definedName>
    <definedName name="WheatInsecticides">'Chemical List (Wheat)'!$A$61:$D$72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0" i="25" l="1"/>
  <c r="O23" i="6"/>
  <c r="R23" i="6" s="1"/>
  <c r="O24" i="6"/>
  <c r="J23" i="6"/>
  <c r="L23" i="6" s="1"/>
  <c r="J24" i="6"/>
  <c r="E23" i="6"/>
  <c r="E24" i="6"/>
  <c r="G23" i="6"/>
  <c r="R24" i="6"/>
  <c r="L24" i="6"/>
  <c r="G24" i="6"/>
  <c r="E20" i="25"/>
  <c r="I20" i="25"/>
  <c r="M20" i="25"/>
  <c r="L20" i="25" l="1"/>
  <c r="D20" i="25"/>
  <c r="H20" i="25"/>
  <c r="C10" i="23" l="1"/>
  <c r="J11" i="23" l="1"/>
  <c r="J10" i="23"/>
  <c r="J9" i="23"/>
  <c r="I6" i="9" l="1"/>
  <c r="K6" i="9"/>
  <c r="J6" i="9"/>
  <c r="J75" i="9" s="1"/>
  <c r="D132" i="1" s="1"/>
  <c r="P64" i="9"/>
  <c r="O64" i="9"/>
  <c r="S64" i="9"/>
  <c r="R64" i="9"/>
  <c r="N64" i="9"/>
  <c r="P63" i="9"/>
  <c r="O63" i="9"/>
  <c r="S63" i="9"/>
  <c r="R63" i="9"/>
  <c r="N63" i="9"/>
  <c r="P62" i="9"/>
  <c r="O62" i="9"/>
  <c r="S62" i="9"/>
  <c r="R62" i="9"/>
  <c r="N62" i="9"/>
  <c r="P61" i="9"/>
  <c r="O61" i="9"/>
  <c r="S61" i="9"/>
  <c r="R61" i="9"/>
  <c r="N61" i="9"/>
  <c r="AA58" i="8"/>
  <c r="AA59" i="8"/>
  <c r="AA60" i="8"/>
  <c r="AA61" i="8"/>
  <c r="Y58" i="8"/>
  <c r="Y59" i="8"/>
  <c r="Y60" i="8"/>
  <c r="Y61" i="8"/>
  <c r="W58" i="8"/>
  <c r="W59" i="8"/>
  <c r="W60" i="8"/>
  <c r="W61" i="8"/>
  <c r="AA57" i="8"/>
  <c r="Y57" i="8"/>
  <c r="W57" i="8"/>
  <c r="AA47" i="8"/>
  <c r="AA48" i="8"/>
  <c r="AA49" i="8"/>
  <c r="AA50" i="8"/>
  <c r="Y47" i="8"/>
  <c r="Y48" i="8"/>
  <c r="Y49" i="8"/>
  <c r="Y50" i="8"/>
  <c r="W47" i="8"/>
  <c r="W48" i="8"/>
  <c r="W49" i="8"/>
  <c r="W50" i="8"/>
  <c r="AA46" i="8"/>
  <c r="Y46" i="8"/>
  <c r="W46" i="8"/>
  <c r="AA26" i="8"/>
  <c r="AA27" i="8"/>
  <c r="AA28" i="8"/>
  <c r="AA29" i="8"/>
  <c r="Y26" i="8"/>
  <c r="Y27" i="8"/>
  <c r="Y28" i="8"/>
  <c r="Y29" i="8"/>
  <c r="V26" i="8"/>
  <c r="W26" i="8"/>
  <c r="V27" i="8"/>
  <c r="W27" i="8"/>
  <c r="V28" i="8"/>
  <c r="W28" i="8"/>
  <c r="V29" i="8"/>
  <c r="W29" i="8"/>
  <c r="AA25" i="8"/>
  <c r="Y25" i="8"/>
  <c r="W25" i="8"/>
  <c r="V25" i="8"/>
  <c r="AA37" i="8"/>
  <c r="AA36" i="8"/>
  <c r="AA35" i="8"/>
  <c r="AA34" i="8"/>
  <c r="AA33" i="8"/>
  <c r="Y37" i="8"/>
  <c r="Y36" i="8"/>
  <c r="Y35" i="8"/>
  <c r="Y34" i="8"/>
  <c r="Y33" i="8"/>
  <c r="W37" i="8"/>
  <c r="W36" i="8"/>
  <c r="W35" i="8"/>
  <c r="W34" i="8"/>
  <c r="W33" i="8"/>
  <c r="AA14" i="8"/>
  <c r="AA15" i="8"/>
  <c r="AA16" i="8"/>
  <c r="AA17" i="8"/>
  <c r="Y14" i="8"/>
  <c r="Y15" i="8"/>
  <c r="Y16" i="8"/>
  <c r="Y17" i="8"/>
  <c r="W14" i="8"/>
  <c r="W15" i="8"/>
  <c r="W16" i="8"/>
  <c r="W17" i="8"/>
  <c r="AA13" i="8"/>
  <c r="Y13" i="8"/>
  <c r="W13" i="8"/>
  <c r="AA7" i="8"/>
  <c r="AA8" i="8"/>
  <c r="AA9" i="8"/>
  <c r="AA10" i="8"/>
  <c r="Y7" i="8"/>
  <c r="Y8" i="8"/>
  <c r="Y9" i="8"/>
  <c r="Y10" i="8"/>
  <c r="V7" i="8"/>
  <c r="W7" i="8"/>
  <c r="V8" i="8"/>
  <c r="W8" i="8"/>
  <c r="V9" i="8"/>
  <c r="W9" i="8"/>
  <c r="V10" i="8"/>
  <c r="W10" i="8"/>
  <c r="AA6" i="8"/>
  <c r="Y6" i="8"/>
  <c r="W6" i="8"/>
  <c r="V6" i="8"/>
  <c r="Q58" i="8"/>
  <c r="Q59" i="8"/>
  <c r="Q60" i="8"/>
  <c r="Q61" i="8"/>
  <c r="O58" i="8"/>
  <c r="O59" i="8"/>
  <c r="O60" i="8"/>
  <c r="O61" i="8"/>
  <c r="M58" i="8"/>
  <c r="M59" i="8"/>
  <c r="M60" i="8"/>
  <c r="M61" i="8"/>
  <c r="Q57" i="8"/>
  <c r="O57" i="8"/>
  <c r="M57" i="8"/>
  <c r="Q47" i="8"/>
  <c r="Q48" i="8"/>
  <c r="Q49" i="8"/>
  <c r="Q50" i="8"/>
  <c r="O47" i="8"/>
  <c r="O48" i="8"/>
  <c r="O49" i="8"/>
  <c r="O50" i="8"/>
  <c r="M47" i="8"/>
  <c r="M48" i="8"/>
  <c r="M49" i="8"/>
  <c r="M50" i="8"/>
  <c r="Q46" i="8"/>
  <c r="O46" i="8"/>
  <c r="M46" i="8"/>
  <c r="Q26" i="8"/>
  <c r="Q27" i="8"/>
  <c r="Q28" i="8"/>
  <c r="Q29" i="8"/>
  <c r="Q25" i="8"/>
  <c r="L26" i="8"/>
  <c r="M26" i="8"/>
  <c r="L27" i="8"/>
  <c r="M27" i="8"/>
  <c r="L28" i="8"/>
  <c r="M28" i="8"/>
  <c r="L29" i="8"/>
  <c r="M29" i="8"/>
  <c r="O26" i="8"/>
  <c r="R26" i="8" s="1"/>
  <c r="O27" i="8"/>
  <c r="O28" i="8"/>
  <c r="O29" i="8"/>
  <c r="O25" i="8"/>
  <c r="M25" i="8"/>
  <c r="Q37" i="8"/>
  <c r="Q36" i="8"/>
  <c r="Q35" i="8"/>
  <c r="Q34" i="8"/>
  <c r="Q33" i="8"/>
  <c r="O37" i="8"/>
  <c r="O36" i="8"/>
  <c r="O35" i="8"/>
  <c r="O34" i="8"/>
  <c r="O33" i="8"/>
  <c r="M37" i="8"/>
  <c r="M36" i="8"/>
  <c r="M35" i="8"/>
  <c r="M34" i="8"/>
  <c r="M33" i="8"/>
  <c r="Q14" i="8"/>
  <c r="Q15" i="8"/>
  <c r="Q16" i="8"/>
  <c r="Q17" i="8"/>
  <c r="O14" i="8"/>
  <c r="O15" i="8"/>
  <c r="O16" i="8"/>
  <c r="O17" i="8"/>
  <c r="M14" i="8"/>
  <c r="M15" i="8"/>
  <c r="M16" i="8"/>
  <c r="M17" i="8"/>
  <c r="Q13" i="8"/>
  <c r="O13" i="8"/>
  <c r="M13" i="8"/>
  <c r="Q7" i="8"/>
  <c r="Q8" i="8"/>
  <c r="Q9" i="8"/>
  <c r="Q10" i="8"/>
  <c r="O7" i="8"/>
  <c r="O8" i="8"/>
  <c r="O9" i="8"/>
  <c r="O10" i="8"/>
  <c r="L7" i="8"/>
  <c r="M7" i="8"/>
  <c r="L8" i="8"/>
  <c r="M8" i="8"/>
  <c r="L9" i="8"/>
  <c r="M9" i="8"/>
  <c r="L10" i="8"/>
  <c r="M10" i="8"/>
  <c r="Q6" i="8"/>
  <c r="O6" i="8"/>
  <c r="M6" i="8"/>
  <c r="L6" i="8"/>
  <c r="G58" i="8"/>
  <c r="G59" i="8"/>
  <c r="G60" i="8"/>
  <c r="G61" i="8"/>
  <c r="G57" i="8"/>
  <c r="E58" i="8"/>
  <c r="E59" i="8"/>
  <c r="E60" i="8"/>
  <c r="E61" i="8"/>
  <c r="E57" i="8"/>
  <c r="C58" i="8"/>
  <c r="C59" i="8"/>
  <c r="C60" i="8"/>
  <c r="C61" i="8"/>
  <c r="C57" i="8"/>
  <c r="G47" i="8"/>
  <c r="G48" i="8"/>
  <c r="G49" i="8"/>
  <c r="G50" i="8"/>
  <c r="G46" i="8"/>
  <c r="E47" i="8"/>
  <c r="E48" i="8"/>
  <c r="E49" i="8"/>
  <c r="E50" i="8"/>
  <c r="E46" i="8"/>
  <c r="H46" i="8" s="1"/>
  <c r="H53" i="8" s="1"/>
  <c r="C29" i="1" s="1"/>
  <c r="C47" i="8"/>
  <c r="C48" i="8"/>
  <c r="C49" i="8"/>
  <c r="C50" i="8"/>
  <c r="C46" i="8"/>
  <c r="G37" i="8"/>
  <c r="G36" i="8"/>
  <c r="G35" i="8"/>
  <c r="G34" i="8"/>
  <c r="G33" i="8"/>
  <c r="E37" i="8"/>
  <c r="E36" i="8"/>
  <c r="E35" i="8"/>
  <c r="E34" i="8"/>
  <c r="E33" i="8"/>
  <c r="C37" i="8"/>
  <c r="C36" i="8"/>
  <c r="C35" i="8"/>
  <c r="C34" i="8"/>
  <c r="C33" i="8"/>
  <c r="G26" i="8"/>
  <c r="G27" i="8"/>
  <c r="G28" i="8"/>
  <c r="G29" i="8"/>
  <c r="E26" i="8"/>
  <c r="E27" i="8"/>
  <c r="E28" i="8"/>
  <c r="E29" i="8"/>
  <c r="E25" i="8"/>
  <c r="B26" i="8"/>
  <c r="C26" i="8"/>
  <c r="B27" i="8"/>
  <c r="C27" i="8"/>
  <c r="B28" i="8"/>
  <c r="C28" i="8"/>
  <c r="B29" i="8"/>
  <c r="C29" i="8"/>
  <c r="C25" i="8"/>
  <c r="B25" i="8"/>
  <c r="L25" i="8"/>
  <c r="E14" i="8"/>
  <c r="E15" i="8"/>
  <c r="E16" i="8"/>
  <c r="E17" i="8"/>
  <c r="E13" i="8"/>
  <c r="E7" i="8"/>
  <c r="E8" i="8"/>
  <c r="E9" i="8"/>
  <c r="E10" i="8"/>
  <c r="E6" i="8"/>
  <c r="G25" i="8"/>
  <c r="B6" i="8"/>
  <c r="G14" i="8"/>
  <c r="G15" i="8"/>
  <c r="G16" i="8"/>
  <c r="G17" i="8"/>
  <c r="C14" i="8"/>
  <c r="C15" i="8"/>
  <c r="C16" i="8"/>
  <c r="C17" i="8"/>
  <c r="G13" i="8"/>
  <c r="C13" i="8"/>
  <c r="G7" i="8"/>
  <c r="G8" i="8"/>
  <c r="G9" i="8"/>
  <c r="G10" i="8"/>
  <c r="B7" i="8"/>
  <c r="C7" i="8"/>
  <c r="B8" i="8"/>
  <c r="C8" i="8"/>
  <c r="B9" i="8"/>
  <c r="C9" i="8"/>
  <c r="B10" i="8"/>
  <c r="C10" i="8"/>
  <c r="G6" i="8"/>
  <c r="C6" i="8"/>
  <c r="AE61" i="9"/>
  <c r="AB64" i="9"/>
  <c r="AA64" i="9"/>
  <c r="Z64" i="9"/>
  <c r="AB63" i="9"/>
  <c r="AA63" i="9"/>
  <c r="Z63" i="9"/>
  <c r="AB62" i="9"/>
  <c r="AA62" i="9"/>
  <c r="Z62" i="9"/>
  <c r="AB61" i="9"/>
  <c r="AA61" i="9"/>
  <c r="Z61" i="9"/>
  <c r="AB58" i="9"/>
  <c r="AA58" i="9"/>
  <c r="Z58" i="9"/>
  <c r="AB57" i="9"/>
  <c r="AA57" i="9"/>
  <c r="Z57" i="9"/>
  <c r="AB56" i="9"/>
  <c r="AA56" i="9"/>
  <c r="Z56" i="9"/>
  <c r="AB55" i="9"/>
  <c r="AA55" i="9"/>
  <c r="Z55" i="9"/>
  <c r="AB54" i="9"/>
  <c r="AA54" i="9"/>
  <c r="Z54" i="9"/>
  <c r="AB53" i="9"/>
  <c r="AA53" i="9"/>
  <c r="Z53" i="9"/>
  <c r="AD40" i="9"/>
  <c r="AE40" i="9"/>
  <c r="AD41" i="9"/>
  <c r="AE41" i="9"/>
  <c r="AD42" i="9"/>
  <c r="AE42" i="9"/>
  <c r="AD39" i="9"/>
  <c r="Z40" i="9"/>
  <c r="AA40" i="9"/>
  <c r="AB40" i="9"/>
  <c r="Z41" i="9"/>
  <c r="AA41" i="9"/>
  <c r="AB41" i="9"/>
  <c r="Z42" i="9"/>
  <c r="AA42" i="9"/>
  <c r="AB42" i="9"/>
  <c r="AE39" i="9"/>
  <c r="Z39" i="9"/>
  <c r="AA39" i="9"/>
  <c r="AB39" i="9"/>
  <c r="P32" i="9"/>
  <c r="P33" i="9"/>
  <c r="P34" i="9"/>
  <c r="P35" i="9"/>
  <c r="P36" i="9"/>
  <c r="AB32" i="9"/>
  <c r="AB33" i="9"/>
  <c r="AB34" i="9"/>
  <c r="AB35" i="9"/>
  <c r="AB36" i="9"/>
  <c r="AB31" i="9"/>
  <c r="AA31" i="9"/>
  <c r="AE31" i="9"/>
  <c r="O31" i="9"/>
  <c r="AA34" i="9"/>
  <c r="AE34" i="9"/>
  <c r="AD34" i="9"/>
  <c r="AA32" i="9"/>
  <c r="AE32" i="9"/>
  <c r="AD32" i="9"/>
  <c r="AD33" i="9"/>
  <c r="AD35" i="9"/>
  <c r="AD36" i="9"/>
  <c r="AD31" i="9"/>
  <c r="AA36" i="9"/>
  <c r="AE36" i="9"/>
  <c r="AA35" i="9"/>
  <c r="AE35" i="9"/>
  <c r="AA33" i="9"/>
  <c r="AE33" i="9"/>
  <c r="Z36" i="9"/>
  <c r="Z35" i="9"/>
  <c r="Z34" i="9"/>
  <c r="Z33" i="9"/>
  <c r="Z32" i="9"/>
  <c r="Z31" i="9"/>
  <c r="P31" i="9"/>
  <c r="S31" i="9"/>
  <c r="R31" i="9"/>
  <c r="N31" i="9"/>
  <c r="O36" i="9"/>
  <c r="S36" i="9"/>
  <c r="R36" i="9"/>
  <c r="N36" i="9"/>
  <c r="O35" i="9"/>
  <c r="S35" i="9"/>
  <c r="R35" i="9"/>
  <c r="N35" i="9"/>
  <c r="O34" i="9"/>
  <c r="S34" i="9"/>
  <c r="R34" i="9"/>
  <c r="N34" i="9"/>
  <c r="O33" i="9"/>
  <c r="S33" i="9"/>
  <c r="R33" i="9"/>
  <c r="N33" i="9"/>
  <c r="O32" i="9"/>
  <c r="S32" i="9"/>
  <c r="R32" i="9"/>
  <c r="N32" i="9"/>
  <c r="AE53" i="9"/>
  <c r="AE69" i="9" s="1"/>
  <c r="AB68" i="9"/>
  <c r="AA68" i="9"/>
  <c r="AE68" i="9"/>
  <c r="AD68" i="9"/>
  <c r="Z68" i="9"/>
  <c r="AB67" i="9"/>
  <c r="AA67" i="9"/>
  <c r="AE67" i="9"/>
  <c r="AD67" i="9"/>
  <c r="Z67" i="9"/>
  <c r="AE64" i="9"/>
  <c r="AD64" i="9"/>
  <c r="AE63" i="9"/>
  <c r="AD63" i="9"/>
  <c r="AE62" i="9"/>
  <c r="AD62" i="9"/>
  <c r="AD61" i="9"/>
  <c r="AD53" i="9"/>
  <c r="AD54" i="9"/>
  <c r="AE54" i="9"/>
  <c r="AD55" i="9"/>
  <c r="AE55" i="9"/>
  <c r="AD56" i="9"/>
  <c r="AE56" i="9"/>
  <c r="AD57" i="9"/>
  <c r="AE57" i="9"/>
  <c r="AD58" i="9"/>
  <c r="AE58" i="9"/>
  <c r="AB46" i="9"/>
  <c r="AA46" i="9"/>
  <c r="AE46" i="9"/>
  <c r="AD46" i="9"/>
  <c r="Z46" i="9"/>
  <c r="AB45" i="9"/>
  <c r="AA45" i="9"/>
  <c r="AE45" i="9"/>
  <c r="AD45" i="9"/>
  <c r="Z45" i="9"/>
  <c r="AB24" i="9"/>
  <c r="AA24" i="9"/>
  <c r="AE24" i="9"/>
  <c r="AD24" i="9"/>
  <c r="Z24" i="9"/>
  <c r="AB23" i="9"/>
  <c r="AA23" i="9"/>
  <c r="AE23" i="9"/>
  <c r="AD23" i="9"/>
  <c r="Z23" i="9"/>
  <c r="AA20" i="9"/>
  <c r="Z20" i="9"/>
  <c r="AD20" i="9"/>
  <c r="AE20" i="9"/>
  <c r="AB20" i="9"/>
  <c r="AB17" i="9"/>
  <c r="AA17" i="9"/>
  <c r="Z17" i="9"/>
  <c r="AB16" i="9"/>
  <c r="AA16" i="9"/>
  <c r="Z16" i="9"/>
  <c r="AB15" i="9"/>
  <c r="AA15" i="9"/>
  <c r="Z15" i="9"/>
  <c r="AB14" i="9"/>
  <c r="AA14" i="9"/>
  <c r="Z14" i="9"/>
  <c r="AE17" i="9"/>
  <c r="AD17" i="9"/>
  <c r="AE16" i="9"/>
  <c r="AD16" i="9"/>
  <c r="AE15" i="9"/>
  <c r="AD15" i="9"/>
  <c r="AE14" i="9"/>
  <c r="AD14" i="9"/>
  <c r="R15" i="9"/>
  <c r="R16" i="9"/>
  <c r="R17" i="9"/>
  <c r="R14" i="9"/>
  <c r="AD7" i="9"/>
  <c r="AA7" i="9"/>
  <c r="AB7" i="9"/>
  <c r="AE7" i="9"/>
  <c r="AD8" i="9"/>
  <c r="AB8" i="9"/>
  <c r="AA8" i="9"/>
  <c r="AE8" i="9"/>
  <c r="AD9" i="9"/>
  <c r="AB9" i="9"/>
  <c r="AA9" i="9"/>
  <c r="AE9" i="9"/>
  <c r="AD10" i="9"/>
  <c r="AB10" i="9"/>
  <c r="AA10" i="9"/>
  <c r="AE10" i="9"/>
  <c r="AD11" i="9"/>
  <c r="AB11" i="9"/>
  <c r="AA11" i="9"/>
  <c r="AE11" i="9"/>
  <c r="AA6" i="9"/>
  <c r="AB6" i="9"/>
  <c r="AE6" i="9"/>
  <c r="AD6" i="9"/>
  <c r="Z6" i="9"/>
  <c r="Z11" i="9"/>
  <c r="Z10" i="9"/>
  <c r="Z9" i="9"/>
  <c r="Z8" i="9"/>
  <c r="Z7" i="9"/>
  <c r="P68" i="9"/>
  <c r="O68" i="9"/>
  <c r="S68" i="9"/>
  <c r="R68" i="9"/>
  <c r="N68" i="9"/>
  <c r="P67" i="9"/>
  <c r="O67" i="9"/>
  <c r="S67" i="9"/>
  <c r="R67" i="9"/>
  <c r="N67" i="9"/>
  <c r="P46" i="9"/>
  <c r="O46" i="9"/>
  <c r="S46" i="9"/>
  <c r="R46" i="9"/>
  <c r="N46" i="9"/>
  <c r="P45" i="9"/>
  <c r="O45" i="9"/>
  <c r="S45" i="9"/>
  <c r="R45" i="9"/>
  <c r="N45" i="9"/>
  <c r="S42" i="9"/>
  <c r="R42" i="9"/>
  <c r="S41" i="9"/>
  <c r="R41" i="9"/>
  <c r="S40" i="9"/>
  <c r="R40" i="9"/>
  <c r="S39" i="9"/>
  <c r="R39" i="9"/>
  <c r="P42" i="9"/>
  <c r="O42" i="9"/>
  <c r="N42" i="9"/>
  <c r="P41" i="9"/>
  <c r="O41" i="9"/>
  <c r="N41" i="9"/>
  <c r="P40" i="9"/>
  <c r="O40" i="9"/>
  <c r="N40" i="9"/>
  <c r="P39" i="9"/>
  <c r="O39" i="9"/>
  <c r="N39" i="9"/>
  <c r="P58" i="9"/>
  <c r="O58" i="9"/>
  <c r="S58" i="9"/>
  <c r="R58" i="9"/>
  <c r="P57" i="9"/>
  <c r="O57" i="9"/>
  <c r="S57" i="9"/>
  <c r="R57" i="9"/>
  <c r="P56" i="9"/>
  <c r="O56" i="9"/>
  <c r="S56" i="9"/>
  <c r="R56" i="9"/>
  <c r="P55" i="9"/>
  <c r="O55" i="9"/>
  <c r="S55" i="9"/>
  <c r="R55" i="9"/>
  <c r="P54" i="9"/>
  <c r="O54" i="9"/>
  <c r="S54" i="9"/>
  <c r="R54" i="9"/>
  <c r="P53" i="9"/>
  <c r="O53" i="9"/>
  <c r="S53" i="9"/>
  <c r="R53" i="9"/>
  <c r="N58" i="9"/>
  <c r="N57" i="9"/>
  <c r="N56" i="9"/>
  <c r="N55" i="9"/>
  <c r="N54" i="9"/>
  <c r="N53" i="9"/>
  <c r="D68" i="9"/>
  <c r="C68" i="9"/>
  <c r="G68" i="9"/>
  <c r="F68" i="9"/>
  <c r="B68" i="9"/>
  <c r="D67" i="9"/>
  <c r="C67" i="9"/>
  <c r="G67" i="9"/>
  <c r="F67" i="9"/>
  <c r="B67" i="9"/>
  <c r="D36" i="9"/>
  <c r="C36" i="9"/>
  <c r="G36" i="9"/>
  <c r="F36" i="9"/>
  <c r="D35" i="9"/>
  <c r="C35" i="9"/>
  <c r="G35" i="9"/>
  <c r="F35" i="9"/>
  <c r="D34" i="9"/>
  <c r="C34" i="9"/>
  <c r="G34" i="9"/>
  <c r="F34" i="9"/>
  <c r="D33" i="9"/>
  <c r="C33" i="9"/>
  <c r="G33" i="9"/>
  <c r="F33" i="9"/>
  <c r="D32" i="9"/>
  <c r="C32" i="9"/>
  <c r="G32" i="9"/>
  <c r="F32" i="9"/>
  <c r="D31" i="9"/>
  <c r="C31" i="9"/>
  <c r="G31" i="9"/>
  <c r="F31" i="9"/>
  <c r="B36" i="9"/>
  <c r="B35" i="9"/>
  <c r="B34" i="9"/>
  <c r="B33" i="9"/>
  <c r="B32" i="9"/>
  <c r="B31" i="9"/>
  <c r="B20" i="9"/>
  <c r="B15" i="9"/>
  <c r="C15" i="9"/>
  <c r="D15" i="9"/>
  <c r="B16" i="9"/>
  <c r="C16" i="9"/>
  <c r="D16" i="9"/>
  <c r="B17" i="9"/>
  <c r="C17" i="9"/>
  <c r="D17" i="9"/>
  <c r="F14" i="9"/>
  <c r="G14" i="9"/>
  <c r="F7" i="9"/>
  <c r="D7" i="9"/>
  <c r="C7" i="9"/>
  <c r="G7" i="9"/>
  <c r="F8" i="9"/>
  <c r="D8" i="9"/>
  <c r="C8" i="9"/>
  <c r="G8" i="9"/>
  <c r="F9" i="9"/>
  <c r="D9" i="9"/>
  <c r="C9" i="9"/>
  <c r="G9" i="9"/>
  <c r="F10" i="9"/>
  <c r="D10" i="9"/>
  <c r="C10" i="9"/>
  <c r="G10" i="9"/>
  <c r="F11" i="9"/>
  <c r="D11" i="9"/>
  <c r="C11" i="9"/>
  <c r="G11" i="9"/>
  <c r="B7" i="9"/>
  <c r="B8" i="9"/>
  <c r="B9" i="9"/>
  <c r="B10" i="9"/>
  <c r="B11" i="9"/>
  <c r="B6" i="9"/>
  <c r="C6" i="9"/>
  <c r="D6" i="9"/>
  <c r="F6" i="9"/>
  <c r="D61" i="9"/>
  <c r="G61" i="9"/>
  <c r="F61" i="9"/>
  <c r="F54" i="9"/>
  <c r="D54" i="9"/>
  <c r="C54" i="9"/>
  <c r="G54" i="9"/>
  <c r="F55" i="9"/>
  <c r="D55" i="9"/>
  <c r="C55" i="9"/>
  <c r="G55" i="9"/>
  <c r="F56" i="9"/>
  <c r="D56" i="9"/>
  <c r="C56" i="9"/>
  <c r="G56" i="9"/>
  <c r="F57" i="9"/>
  <c r="D57" i="9"/>
  <c r="C57" i="9"/>
  <c r="G57" i="9"/>
  <c r="F58" i="9"/>
  <c r="D58" i="9"/>
  <c r="C58" i="9"/>
  <c r="G58" i="9"/>
  <c r="B54" i="9"/>
  <c r="B55" i="9"/>
  <c r="B56" i="9"/>
  <c r="B57" i="9"/>
  <c r="B58" i="9"/>
  <c r="B53" i="9"/>
  <c r="C53" i="9"/>
  <c r="D53" i="9"/>
  <c r="F53" i="9"/>
  <c r="G53" i="9"/>
  <c r="G64" i="9"/>
  <c r="F64" i="9"/>
  <c r="G63" i="9"/>
  <c r="F63" i="9"/>
  <c r="G62" i="9"/>
  <c r="F62" i="9"/>
  <c r="D64" i="9"/>
  <c r="C64" i="9"/>
  <c r="B64" i="9"/>
  <c r="D63" i="9"/>
  <c r="C63" i="9"/>
  <c r="B63" i="9"/>
  <c r="D62" i="9"/>
  <c r="C62" i="9"/>
  <c r="B62" i="9"/>
  <c r="C61" i="9"/>
  <c r="B61" i="9"/>
  <c r="N7" i="9"/>
  <c r="N8" i="9"/>
  <c r="N9" i="9"/>
  <c r="N10" i="9"/>
  <c r="N11" i="9"/>
  <c r="N6" i="9"/>
  <c r="F39" i="9"/>
  <c r="D39" i="9"/>
  <c r="C39" i="9"/>
  <c r="B39" i="9"/>
  <c r="D46" i="9"/>
  <c r="C46" i="9"/>
  <c r="G46" i="9"/>
  <c r="F46" i="9"/>
  <c r="B46" i="9"/>
  <c r="D45" i="9"/>
  <c r="C45" i="9"/>
  <c r="G45" i="9"/>
  <c r="F45" i="9"/>
  <c r="B45" i="9"/>
  <c r="D42" i="9"/>
  <c r="C42" i="9"/>
  <c r="G42" i="9"/>
  <c r="F42" i="9"/>
  <c r="B42" i="9"/>
  <c r="D41" i="9"/>
  <c r="C41" i="9"/>
  <c r="G41" i="9"/>
  <c r="F41" i="9"/>
  <c r="B41" i="9"/>
  <c r="D40" i="9"/>
  <c r="C40" i="9"/>
  <c r="G40" i="9"/>
  <c r="F40" i="9"/>
  <c r="B40" i="9"/>
  <c r="G39" i="9"/>
  <c r="F15" i="9"/>
  <c r="G15" i="9"/>
  <c r="F16" i="9"/>
  <c r="G16" i="9"/>
  <c r="F17" i="9"/>
  <c r="G17" i="9"/>
  <c r="S20" i="9"/>
  <c r="S23" i="9"/>
  <c r="R23" i="9"/>
  <c r="P23" i="9"/>
  <c r="O23" i="9"/>
  <c r="N23" i="9"/>
  <c r="P24" i="9"/>
  <c r="O24" i="9"/>
  <c r="S24" i="9"/>
  <c r="R24" i="9"/>
  <c r="N24" i="9"/>
  <c r="G24" i="9"/>
  <c r="B24" i="9"/>
  <c r="B23" i="9"/>
  <c r="C24" i="9"/>
  <c r="D24" i="9"/>
  <c r="F24" i="9"/>
  <c r="G23" i="9"/>
  <c r="F23" i="9"/>
  <c r="D23" i="9"/>
  <c r="C23" i="9"/>
  <c r="D14" i="9"/>
  <c r="G20" i="9"/>
  <c r="F20" i="9"/>
  <c r="D20" i="9"/>
  <c r="C20" i="9"/>
  <c r="R20" i="9"/>
  <c r="P20" i="9"/>
  <c r="O20" i="9"/>
  <c r="N20" i="9"/>
  <c r="P15" i="9"/>
  <c r="P16" i="9"/>
  <c r="P17" i="9"/>
  <c r="P14" i="9"/>
  <c r="N15" i="9"/>
  <c r="N16" i="9"/>
  <c r="N17" i="9"/>
  <c r="N14" i="9"/>
  <c r="B14" i="9"/>
  <c r="P7" i="9"/>
  <c r="O7" i="9"/>
  <c r="S7" i="9"/>
  <c r="P8" i="9"/>
  <c r="O8" i="9"/>
  <c r="S8" i="9"/>
  <c r="P9" i="9"/>
  <c r="O9" i="9"/>
  <c r="S9" i="9"/>
  <c r="P10" i="9"/>
  <c r="O10" i="9"/>
  <c r="S10" i="9"/>
  <c r="P11" i="9"/>
  <c r="O11" i="9"/>
  <c r="S11" i="9"/>
  <c r="P6" i="9"/>
  <c r="O6" i="9"/>
  <c r="S6" i="9"/>
  <c r="S25" i="9" s="1"/>
  <c r="R7" i="9"/>
  <c r="R8" i="9"/>
  <c r="R9" i="9"/>
  <c r="R10" i="9"/>
  <c r="R11" i="9"/>
  <c r="R6" i="9"/>
  <c r="S15" i="9"/>
  <c r="O15" i="9"/>
  <c r="S16" i="9"/>
  <c r="S14" i="9"/>
  <c r="S17" i="9"/>
  <c r="O16" i="9"/>
  <c r="O17" i="9"/>
  <c r="O14" i="9"/>
  <c r="C14" i="9"/>
  <c r="U6" i="9"/>
  <c r="I31" i="9"/>
  <c r="I9" i="9"/>
  <c r="I78" i="9" s="1"/>
  <c r="C134" i="1" s="1"/>
  <c r="C30" i="25"/>
  <c r="C50" i="25"/>
  <c r="D34" i="25"/>
  <c r="D54" i="25" s="1"/>
  <c r="D129" i="1" s="1"/>
  <c r="E34" i="25"/>
  <c r="E54" i="25"/>
  <c r="E129" i="1" s="1"/>
  <c r="G34" i="25"/>
  <c r="G54" i="25"/>
  <c r="G129" i="1" s="1"/>
  <c r="H34" i="25"/>
  <c r="H54" i="25"/>
  <c r="H129" i="1"/>
  <c r="I34" i="25"/>
  <c r="I54" i="25"/>
  <c r="I129" i="1"/>
  <c r="K34" i="25"/>
  <c r="K54" i="25"/>
  <c r="K129" i="1" s="1"/>
  <c r="L34" i="25"/>
  <c r="L54" i="25"/>
  <c r="L129" i="1"/>
  <c r="M34" i="25"/>
  <c r="M54" i="25"/>
  <c r="M129" i="1"/>
  <c r="D32" i="25"/>
  <c r="D52" i="25" s="1"/>
  <c r="D127" i="1" s="1"/>
  <c r="E32" i="25"/>
  <c r="E52" i="25"/>
  <c r="E127" i="1" s="1"/>
  <c r="G32" i="25"/>
  <c r="G52" i="25" s="1"/>
  <c r="G127" i="1" s="1"/>
  <c r="H32" i="25"/>
  <c r="H52" i="25"/>
  <c r="H127" i="1" s="1"/>
  <c r="I32" i="25"/>
  <c r="I52" i="25"/>
  <c r="I127" i="1"/>
  <c r="K32" i="25"/>
  <c r="K52" i="25"/>
  <c r="K127" i="1" s="1"/>
  <c r="L32" i="25"/>
  <c r="L52" i="25" s="1"/>
  <c r="L127" i="1" s="1"/>
  <c r="M32" i="25"/>
  <c r="M52" i="25"/>
  <c r="M127" i="1" s="1"/>
  <c r="C34" i="25"/>
  <c r="C54" i="25" s="1"/>
  <c r="C129" i="1" s="1"/>
  <c r="C32" i="25"/>
  <c r="C52" i="25"/>
  <c r="C127" i="1" s="1"/>
  <c r="D50" i="25"/>
  <c r="D125" i="1" s="1"/>
  <c r="E50" i="25"/>
  <c r="E125" i="1"/>
  <c r="G30" i="25"/>
  <c r="G50" i="25" s="1"/>
  <c r="G125" i="1" s="1"/>
  <c r="H50" i="25"/>
  <c r="H125" i="1" s="1"/>
  <c r="I50" i="25"/>
  <c r="I125" i="1" s="1"/>
  <c r="K30" i="25"/>
  <c r="K125" i="1"/>
  <c r="L50" i="25"/>
  <c r="L125" i="1" s="1"/>
  <c r="M50" i="25"/>
  <c r="M125" i="1" s="1"/>
  <c r="C125" i="1"/>
  <c r="U41" i="25"/>
  <c r="H30" i="25"/>
  <c r="R35" i="8"/>
  <c r="B18" i="3"/>
  <c r="G8" i="19"/>
  <c r="G6" i="19"/>
  <c r="AE47" i="9"/>
  <c r="U47" i="25"/>
  <c r="AB34" i="8"/>
  <c r="AB35" i="8"/>
  <c r="AB33" i="8"/>
  <c r="AB36" i="8"/>
  <c r="AB37" i="8"/>
  <c r="AB25" i="8"/>
  <c r="AB26" i="8"/>
  <c r="AB27" i="8"/>
  <c r="AB28" i="8"/>
  <c r="AB29" i="8"/>
  <c r="AB40" i="8"/>
  <c r="AB13" i="8"/>
  <c r="AB14" i="8"/>
  <c r="AB15" i="8"/>
  <c r="AB16" i="8"/>
  <c r="AB17" i="8"/>
  <c r="AB6" i="8"/>
  <c r="AB19" i="8" s="1"/>
  <c r="K28" i="1" s="1"/>
  <c r="M28" i="1" s="1"/>
  <c r="AB7" i="8"/>
  <c r="AB8" i="8"/>
  <c r="AB9" i="8"/>
  <c r="AB10" i="8"/>
  <c r="H7" i="2"/>
  <c r="H8" i="2"/>
  <c r="O10" i="2"/>
  <c r="R6" i="6"/>
  <c r="K25" i="1" s="1"/>
  <c r="O10" i="6"/>
  <c r="R10" i="6" s="1"/>
  <c r="K31" i="1" s="1"/>
  <c r="O11" i="6"/>
  <c r="R11" i="6" s="1"/>
  <c r="K32" i="1" s="1"/>
  <c r="O12" i="6"/>
  <c r="R12" i="6" s="1"/>
  <c r="K33" i="1" s="1"/>
  <c r="O14" i="6"/>
  <c r="R14" i="6" s="1"/>
  <c r="K35" i="1" s="1"/>
  <c r="M35" i="1" s="1"/>
  <c r="O15" i="6"/>
  <c r="R15" i="6" s="1"/>
  <c r="K36" i="1" s="1"/>
  <c r="O17" i="6"/>
  <c r="R17" i="6" s="1"/>
  <c r="K38" i="1" s="1"/>
  <c r="O18" i="6"/>
  <c r="R18" i="6" s="1"/>
  <c r="K39" i="1" s="1"/>
  <c r="O20" i="6"/>
  <c r="R20" i="6" s="1"/>
  <c r="K41" i="1" s="1"/>
  <c r="O21" i="6"/>
  <c r="R21" i="6" s="1"/>
  <c r="K42" i="1" s="1"/>
  <c r="O22" i="6"/>
  <c r="R22" i="6" s="1"/>
  <c r="K43" i="1" s="1"/>
  <c r="K44" i="1"/>
  <c r="K45" i="1"/>
  <c r="O25" i="6"/>
  <c r="R25" i="6" s="1"/>
  <c r="K46" i="1" s="1"/>
  <c r="O27" i="6"/>
  <c r="R27" i="6" s="1"/>
  <c r="K48" i="1" s="1"/>
  <c r="O28" i="6"/>
  <c r="R28" i="6" s="1"/>
  <c r="K49" i="1" s="1"/>
  <c r="O29" i="6"/>
  <c r="R29" i="6" s="1"/>
  <c r="K50" i="1" s="1"/>
  <c r="O30" i="6"/>
  <c r="R30" i="6" s="1"/>
  <c r="K51" i="1" s="1"/>
  <c r="O31" i="6"/>
  <c r="R31" i="6" s="1"/>
  <c r="K53" i="1" s="1"/>
  <c r="AB46" i="8"/>
  <c r="AB47" i="8"/>
  <c r="AB48" i="8"/>
  <c r="AB49" i="8"/>
  <c r="AB50" i="8"/>
  <c r="AB53" i="8"/>
  <c r="K29" i="1" s="1"/>
  <c r="AB57" i="8"/>
  <c r="AB58" i="8"/>
  <c r="AB59" i="8"/>
  <c r="AB60" i="8"/>
  <c r="AB61" i="8"/>
  <c r="AB64" i="8"/>
  <c r="K30" i="1"/>
  <c r="L12" i="19"/>
  <c r="O35" i="6"/>
  <c r="R35" i="6" s="1"/>
  <c r="K58" i="1" s="1"/>
  <c r="O36" i="6"/>
  <c r="R36" i="6" s="1"/>
  <c r="K59" i="1" s="1"/>
  <c r="O37" i="6"/>
  <c r="R37" i="6" s="1"/>
  <c r="K60" i="1" s="1"/>
  <c r="O38" i="6"/>
  <c r="R38" i="6" s="1"/>
  <c r="K62" i="1" s="1"/>
  <c r="S69" i="9"/>
  <c r="U44" i="25"/>
  <c r="R34" i="8"/>
  <c r="R25" i="8"/>
  <c r="R27" i="8"/>
  <c r="R28" i="8"/>
  <c r="R29" i="8"/>
  <c r="R33" i="8"/>
  <c r="R36" i="8"/>
  <c r="R37" i="8"/>
  <c r="R6" i="8"/>
  <c r="R7" i="8"/>
  <c r="R8" i="8"/>
  <c r="R9" i="8"/>
  <c r="R10" i="8"/>
  <c r="R13" i="8"/>
  <c r="R14" i="8"/>
  <c r="R15" i="8"/>
  <c r="R16" i="8"/>
  <c r="R17" i="8"/>
  <c r="R19" i="8"/>
  <c r="G44" i="1"/>
  <c r="C21" i="24" s="1"/>
  <c r="G45" i="1"/>
  <c r="J10" i="6"/>
  <c r="L10" i="6" s="1"/>
  <c r="G31" i="1" s="1"/>
  <c r="J11" i="6"/>
  <c r="L11" i="6"/>
  <c r="G32" i="1" s="1"/>
  <c r="J12" i="6"/>
  <c r="L12" i="6" s="1"/>
  <c r="G33" i="1" s="1"/>
  <c r="C10" i="24" s="1"/>
  <c r="J14" i="6"/>
  <c r="L14" i="6" s="1"/>
  <c r="G35" i="1" s="1"/>
  <c r="J15" i="6"/>
  <c r="L15" i="6" s="1"/>
  <c r="G36" i="1" s="1"/>
  <c r="J17" i="6"/>
  <c r="L17" i="6" s="1"/>
  <c r="G38" i="1" s="1"/>
  <c r="J18" i="6"/>
  <c r="L18" i="6" s="1"/>
  <c r="G39" i="1" s="1"/>
  <c r="C16" i="24" s="1"/>
  <c r="J20" i="6"/>
  <c r="L20" i="6" s="1"/>
  <c r="G41" i="1" s="1"/>
  <c r="J21" i="6"/>
  <c r="L21" i="6" s="1"/>
  <c r="G42" i="1" s="1"/>
  <c r="J22" i="6"/>
  <c r="L22" i="6" s="1"/>
  <c r="G43" i="1" s="1"/>
  <c r="J25" i="6"/>
  <c r="L25" i="6" s="1"/>
  <c r="G46" i="1" s="1"/>
  <c r="J27" i="6"/>
  <c r="L27" i="6" s="1"/>
  <c r="G48" i="1" s="1"/>
  <c r="J28" i="6"/>
  <c r="L28" i="6" s="1"/>
  <c r="G49" i="1" s="1"/>
  <c r="J29" i="6"/>
  <c r="L29" i="6" s="1"/>
  <c r="G50" i="1" s="1"/>
  <c r="J30" i="6"/>
  <c r="L30" i="6" s="1"/>
  <c r="G51" i="1" s="1"/>
  <c r="J31" i="6"/>
  <c r="L31" i="6" s="1"/>
  <c r="G53" i="1" s="1"/>
  <c r="L6" i="6"/>
  <c r="G25" i="1"/>
  <c r="I25" i="1" s="1"/>
  <c r="R46" i="8"/>
  <c r="R47" i="8"/>
  <c r="R48" i="8"/>
  <c r="R49" i="8"/>
  <c r="R50" i="8"/>
  <c r="R53" i="8"/>
  <c r="G29" i="1"/>
  <c r="R57" i="8"/>
  <c r="R58" i="8"/>
  <c r="R59" i="8"/>
  <c r="R60" i="8"/>
  <c r="R61" i="8"/>
  <c r="R64" i="8"/>
  <c r="G30" i="1"/>
  <c r="J35" i="6"/>
  <c r="L35" i="6" s="1"/>
  <c r="G58" i="1" s="1"/>
  <c r="J36" i="6"/>
  <c r="L36" i="6" s="1"/>
  <c r="G59" i="1" s="1"/>
  <c r="J37" i="6"/>
  <c r="L37" i="6" s="1"/>
  <c r="G60" i="1" s="1"/>
  <c r="J38" i="6"/>
  <c r="L38" i="6" s="1"/>
  <c r="G62" i="1" s="1"/>
  <c r="G69" i="9"/>
  <c r="G47" i="9"/>
  <c r="C44" i="1"/>
  <c r="C45" i="1"/>
  <c r="G6" i="6"/>
  <c r="C25" i="1" s="1"/>
  <c r="E10" i="6"/>
  <c r="G10" i="6" s="1"/>
  <c r="C31" i="1" s="1"/>
  <c r="D31" i="1" s="1"/>
  <c r="E11" i="6"/>
  <c r="G11" i="6" s="1"/>
  <c r="C32" i="1" s="1"/>
  <c r="E32" i="1" s="1"/>
  <c r="E15" i="6"/>
  <c r="G15" i="6" s="1"/>
  <c r="C36" i="1" s="1"/>
  <c r="B13" i="24" s="1"/>
  <c r="E14" i="6"/>
  <c r="G14" i="6" s="1"/>
  <c r="C35" i="1" s="1"/>
  <c r="B12" i="24" s="1"/>
  <c r="E17" i="6"/>
  <c r="G17" i="6" s="1"/>
  <c r="C38" i="1" s="1"/>
  <c r="E20" i="6"/>
  <c r="G20" i="6" s="1"/>
  <c r="C41" i="1" s="1"/>
  <c r="E41" i="1" s="1"/>
  <c r="E25" i="6"/>
  <c r="G25" i="6" s="1"/>
  <c r="C46" i="1" s="1"/>
  <c r="D46" i="1" s="1"/>
  <c r="E30" i="6"/>
  <c r="G30" i="6" s="1"/>
  <c r="C51" i="1" s="1"/>
  <c r="B28" i="24" s="1"/>
  <c r="H47" i="8"/>
  <c r="H48" i="8"/>
  <c r="H49" i="8"/>
  <c r="H50" i="8"/>
  <c r="H26" i="8"/>
  <c r="H25" i="8"/>
  <c r="H34" i="8"/>
  <c r="H33" i="8"/>
  <c r="H35" i="8"/>
  <c r="H36" i="8"/>
  <c r="H37" i="8"/>
  <c r="H27" i="8"/>
  <c r="H28" i="8"/>
  <c r="H29" i="8"/>
  <c r="H13" i="8"/>
  <c r="H14" i="8"/>
  <c r="H15" i="8"/>
  <c r="H16" i="8"/>
  <c r="H17" i="8"/>
  <c r="H6" i="8"/>
  <c r="H7" i="8"/>
  <c r="H8" i="8"/>
  <c r="H9" i="8"/>
  <c r="H10" i="8"/>
  <c r="H57" i="8"/>
  <c r="H58" i="8"/>
  <c r="H59" i="8"/>
  <c r="H60" i="8"/>
  <c r="H61" i="8"/>
  <c r="H64" i="8"/>
  <c r="C30" i="1"/>
  <c r="E12" i="6"/>
  <c r="G12" i="6" s="1"/>
  <c r="C33" i="1" s="1"/>
  <c r="E18" i="6"/>
  <c r="G18" i="6" s="1"/>
  <c r="C39" i="1" s="1"/>
  <c r="D39" i="1" s="1"/>
  <c r="E21" i="6"/>
  <c r="G21" i="6" s="1"/>
  <c r="C42" i="1" s="1"/>
  <c r="D42" i="1" s="1"/>
  <c r="E22" i="6"/>
  <c r="G22" i="6" s="1"/>
  <c r="C43" i="1" s="1"/>
  <c r="D43" i="1" s="1"/>
  <c r="E27" i="6"/>
  <c r="G27" i="6" s="1"/>
  <c r="C48" i="1" s="1"/>
  <c r="E28" i="6"/>
  <c r="G28" i="6" s="1"/>
  <c r="C49" i="1" s="1"/>
  <c r="B26" i="24" s="1"/>
  <c r="E29" i="6"/>
  <c r="G29" i="6" s="1"/>
  <c r="C50" i="1" s="1"/>
  <c r="E31" i="6"/>
  <c r="G31" i="6" s="1"/>
  <c r="C53" i="1" s="1"/>
  <c r="E37" i="6"/>
  <c r="G37" i="6" s="1"/>
  <c r="C60" i="1" s="1"/>
  <c r="D60" i="1" s="1"/>
  <c r="E35" i="6"/>
  <c r="G35" i="6" s="1"/>
  <c r="C58" i="1" s="1"/>
  <c r="E38" i="6"/>
  <c r="G38" i="6" s="1"/>
  <c r="C62" i="1" s="1"/>
  <c r="E36" i="6"/>
  <c r="G36" i="6" s="1"/>
  <c r="C59" i="1" s="1"/>
  <c r="J9" i="9"/>
  <c r="V9" i="9"/>
  <c r="AH9" i="9"/>
  <c r="AI9" i="9"/>
  <c r="W9" i="9"/>
  <c r="K9" i="9"/>
  <c r="K78" i="9" s="1"/>
  <c r="E134" i="1" s="1"/>
  <c r="U53" i="9"/>
  <c r="U31" i="9"/>
  <c r="U75" i="9" s="1"/>
  <c r="G132" i="1" s="1"/>
  <c r="I53" i="9"/>
  <c r="I75" i="9"/>
  <c r="I30" i="25"/>
  <c r="L30" i="25"/>
  <c r="M30" i="25"/>
  <c r="D30" i="25"/>
  <c r="E30" i="25"/>
  <c r="D23" i="3"/>
  <c r="C23" i="3"/>
  <c r="B23" i="3"/>
  <c r="C13" i="23"/>
  <c r="N11" i="2"/>
  <c r="O11" i="2"/>
  <c r="P11" i="2"/>
  <c r="H18" i="2"/>
  <c r="H19" i="2"/>
  <c r="H20" i="2"/>
  <c r="H21" i="2"/>
  <c r="H22" i="2"/>
  <c r="H23" i="2"/>
  <c r="H24" i="2"/>
  <c r="H25" i="2"/>
  <c r="H26" i="2"/>
  <c r="H27" i="2"/>
  <c r="H28" i="2"/>
  <c r="N12" i="2"/>
  <c r="O12" i="2"/>
  <c r="P12" i="2"/>
  <c r="H34" i="2"/>
  <c r="H35" i="2"/>
  <c r="H36" i="2"/>
  <c r="H37" i="2"/>
  <c r="H38" i="2"/>
  <c r="H39" i="2"/>
  <c r="H40" i="2"/>
  <c r="H41" i="2"/>
  <c r="N10" i="2"/>
  <c r="P10" i="2"/>
  <c r="H9" i="2"/>
  <c r="H10" i="2"/>
  <c r="H11" i="2"/>
  <c r="H12" i="2"/>
  <c r="D13" i="3"/>
  <c r="K14" i="19"/>
  <c r="L14" i="19"/>
  <c r="M14" i="19"/>
  <c r="G19" i="2"/>
  <c r="G18" i="2"/>
  <c r="G20" i="2"/>
  <c r="G21" i="2"/>
  <c r="G22" i="2"/>
  <c r="G23" i="2"/>
  <c r="G24" i="2"/>
  <c r="G25" i="2"/>
  <c r="G26" i="2"/>
  <c r="G27" i="2"/>
  <c r="G28" i="2"/>
  <c r="N14" i="2"/>
  <c r="O14" i="2"/>
  <c r="P14" i="2"/>
  <c r="G34" i="2"/>
  <c r="G35" i="2"/>
  <c r="G42" i="2" s="1"/>
  <c r="G36" i="2"/>
  <c r="G37" i="2"/>
  <c r="G38" i="2"/>
  <c r="G39" i="2"/>
  <c r="G40" i="2"/>
  <c r="G41" i="2"/>
  <c r="N15" i="2"/>
  <c r="O15" i="2"/>
  <c r="P15" i="2"/>
  <c r="K13" i="19"/>
  <c r="L13" i="19"/>
  <c r="M13" i="19"/>
  <c r="C6" i="24"/>
  <c r="C7" i="24"/>
  <c r="D7" i="24"/>
  <c r="B7" i="24"/>
  <c r="D21" i="24"/>
  <c r="C22" i="24"/>
  <c r="D22" i="24"/>
  <c r="K12" i="19"/>
  <c r="M12" i="19"/>
  <c r="C2" i="24"/>
  <c r="J3" i="2"/>
  <c r="G7" i="2"/>
  <c r="C6" i="23"/>
  <c r="C5" i="23"/>
  <c r="C4" i="23"/>
  <c r="I2" i="20"/>
  <c r="J2" i="20"/>
  <c r="C43" i="20" s="1"/>
  <c r="K2" i="20"/>
  <c r="C12" i="23"/>
  <c r="C11" i="23"/>
  <c r="AH12" i="9"/>
  <c r="AG12" i="9"/>
  <c r="AG9" i="9"/>
  <c r="AI6" i="9"/>
  <c r="AH6" i="9"/>
  <c r="AG6" i="9"/>
  <c r="U12" i="9"/>
  <c r="V12" i="9"/>
  <c r="U9" i="9"/>
  <c r="U78" i="9" s="1"/>
  <c r="G134" i="1" s="1"/>
  <c r="W6" i="9"/>
  <c r="V6" i="9"/>
  <c r="J12" i="9"/>
  <c r="I12" i="9"/>
  <c r="H22" i="19"/>
  <c r="G32" i="19"/>
  <c r="L45" i="19"/>
  <c r="L44" i="19"/>
  <c r="L41" i="19"/>
  <c r="L42" i="19"/>
  <c r="L43" i="19"/>
  <c r="K42" i="19"/>
  <c r="K41" i="19"/>
  <c r="G7" i="19"/>
  <c r="G9" i="19"/>
  <c r="F4" i="20"/>
  <c r="D27" i="1"/>
  <c r="D30" i="1"/>
  <c r="D34" i="1"/>
  <c r="D37" i="1"/>
  <c r="D40" i="1"/>
  <c r="D47" i="1"/>
  <c r="D50" i="1"/>
  <c r="M30" i="1"/>
  <c r="M44" i="1"/>
  <c r="M45" i="1"/>
  <c r="E30" i="1"/>
  <c r="I29" i="1"/>
  <c r="I30" i="1"/>
  <c r="I45" i="1"/>
  <c r="L27" i="1"/>
  <c r="L30" i="1"/>
  <c r="L34" i="1"/>
  <c r="L37" i="1"/>
  <c r="L40" i="1"/>
  <c r="L44" i="1"/>
  <c r="L45" i="1"/>
  <c r="L47" i="1"/>
  <c r="H27" i="1"/>
  <c r="H29" i="1"/>
  <c r="H30" i="1"/>
  <c r="H34" i="1"/>
  <c r="H37" i="1"/>
  <c r="H40" i="1"/>
  <c r="H44" i="1"/>
  <c r="H45" i="1"/>
  <c r="H47" i="1"/>
  <c r="U56" i="9"/>
  <c r="U34" i="9"/>
  <c r="G8" i="2"/>
  <c r="G9" i="2"/>
  <c r="G10" i="2"/>
  <c r="G11" i="2"/>
  <c r="G12" i="2"/>
  <c r="N57" i="1"/>
  <c r="O57" i="1"/>
  <c r="P57" i="1"/>
  <c r="Q57" i="1"/>
  <c r="R57" i="1"/>
  <c r="S57" i="1"/>
  <c r="AH59" i="9"/>
  <c r="AH37" i="9"/>
  <c r="AI81" i="9"/>
  <c r="M136" i="1"/>
  <c r="AH56" i="9"/>
  <c r="AH34" i="9"/>
  <c r="AI56" i="9"/>
  <c r="AI78" i="9" s="1"/>
  <c r="M134" i="1" s="1"/>
  <c r="AI34" i="9"/>
  <c r="AH53" i="9"/>
  <c r="AH31" i="9"/>
  <c r="AI53" i="9"/>
  <c r="AI31" i="9"/>
  <c r="AG59" i="9"/>
  <c r="AG37" i="9"/>
  <c r="AG56" i="9"/>
  <c r="AG78" i="9" s="1"/>
  <c r="K134" i="1" s="1"/>
  <c r="AG34" i="9"/>
  <c r="B19" i="3"/>
  <c r="AG53" i="9"/>
  <c r="AG31" i="9"/>
  <c r="V59" i="9"/>
  <c r="V37" i="9"/>
  <c r="V81" i="9" s="1"/>
  <c r="H136" i="1" s="1"/>
  <c r="W81" i="9"/>
  <c r="I136" i="1"/>
  <c r="V34" i="9"/>
  <c r="V56" i="9"/>
  <c r="W34" i="9"/>
  <c r="W56" i="9"/>
  <c r="U59" i="9"/>
  <c r="U37" i="9"/>
  <c r="U81" i="9" s="1"/>
  <c r="G136" i="1" s="1"/>
  <c r="V31" i="9"/>
  <c r="V75" i="9" s="1"/>
  <c r="H132" i="1" s="1"/>
  <c r="V53" i="9"/>
  <c r="W31" i="9"/>
  <c r="W53" i="9"/>
  <c r="J59" i="9"/>
  <c r="J37" i="9"/>
  <c r="I59" i="9"/>
  <c r="I37" i="9"/>
  <c r="I81" i="9"/>
  <c r="C136" i="1"/>
  <c r="K56" i="9"/>
  <c r="K34" i="9"/>
  <c r="J56" i="9"/>
  <c r="J34" i="9"/>
  <c r="I56" i="9"/>
  <c r="E15" i="3"/>
  <c r="I34" i="9"/>
  <c r="K53" i="9"/>
  <c r="K31" i="9"/>
  <c r="J53" i="9"/>
  <c r="C5" i="3"/>
  <c r="J31" i="9"/>
  <c r="B17" i="3"/>
  <c r="B5" i="3"/>
  <c r="B15" i="3"/>
  <c r="D19" i="17"/>
  <c r="C22" i="17"/>
  <c r="D22" i="17"/>
  <c r="D12" i="17"/>
  <c r="C15" i="17"/>
  <c r="D15" i="17"/>
  <c r="D5" i="17"/>
  <c r="C8" i="17"/>
  <c r="D8" i="17"/>
  <c r="K81" i="9"/>
  <c r="E136" i="1"/>
  <c r="R58" i="1"/>
  <c r="P58" i="1"/>
  <c r="N58" i="1"/>
  <c r="R49" i="1"/>
  <c r="P49" i="1"/>
  <c r="N49" i="1"/>
  <c r="R47" i="1"/>
  <c r="P47" i="1"/>
  <c r="N47" i="1"/>
  <c r="R46" i="1"/>
  <c r="P46" i="1"/>
  <c r="N46" i="1"/>
  <c r="R45" i="1"/>
  <c r="P45" i="1"/>
  <c r="N45" i="1"/>
  <c r="R44" i="1"/>
  <c r="P44" i="1"/>
  <c r="N44" i="1"/>
  <c r="R43" i="1"/>
  <c r="P43" i="1"/>
  <c r="N43" i="1"/>
  <c r="R42" i="1"/>
  <c r="P42" i="1"/>
  <c r="N42" i="1"/>
  <c r="R41" i="1"/>
  <c r="P41" i="1"/>
  <c r="N41" i="1"/>
  <c r="R39" i="1"/>
  <c r="P39" i="1"/>
  <c r="N39" i="1"/>
  <c r="R38" i="1"/>
  <c r="P38" i="1"/>
  <c r="N38" i="1"/>
  <c r="R37" i="1"/>
  <c r="P37" i="1"/>
  <c r="N37" i="1"/>
  <c r="R34" i="1"/>
  <c r="P34" i="1"/>
  <c r="N34" i="1"/>
  <c r="R33" i="1"/>
  <c r="P33" i="1"/>
  <c r="N33" i="1"/>
  <c r="R13" i="1"/>
  <c r="R21" i="1"/>
  <c r="S21" i="1"/>
  <c r="P13" i="1"/>
  <c r="P21" i="1"/>
  <c r="Q21" i="1"/>
  <c r="N13" i="1"/>
  <c r="N21" i="1"/>
  <c r="O21" i="1"/>
  <c r="R25" i="1"/>
  <c r="P25" i="1"/>
  <c r="N25" i="1"/>
  <c r="S58" i="1"/>
  <c r="S49" i="1"/>
  <c r="S47" i="1"/>
  <c r="S46" i="1"/>
  <c r="S45" i="1"/>
  <c r="S44" i="1"/>
  <c r="S43" i="1"/>
  <c r="S42" i="1"/>
  <c r="S41" i="1"/>
  <c r="S39" i="1"/>
  <c r="S38" i="1"/>
  <c r="S37" i="1"/>
  <c r="S34" i="1"/>
  <c r="S33" i="1"/>
  <c r="S35" i="1"/>
  <c r="S26" i="1"/>
  <c r="S25" i="1"/>
  <c r="Q58" i="1"/>
  <c r="Q49" i="1"/>
  <c r="Q47" i="1"/>
  <c r="Q46" i="1"/>
  <c r="Q45" i="1"/>
  <c r="Q44" i="1"/>
  <c r="Q43" i="1"/>
  <c r="Q42" i="1"/>
  <c r="Q41" i="1"/>
  <c r="Q39" i="1"/>
  <c r="Q38" i="1"/>
  <c r="Q37" i="1"/>
  <c r="Q34" i="1"/>
  <c r="Q33" i="1"/>
  <c r="Q35" i="1"/>
  <c r="Q26" i="1"/>
  <c r="Q25" i="1"/>
  <c r="O58" i="1"/>
  <c r="O49" i="1"/>
  <c r="O47" i="1"/>
  <c r="O46" i="1"/>
  <c r="O45" i="1"/>
  <c r="O44" i="1"/>
  <c r="O43" i="1"/>
  <c r="O42" i="1"/>
  <c r="O41" i="1"/>
  <c r="O39" i="1"/>
  <c r="O38" i="1"/>
  <c r="O37" i="1"/>
  <c r="O34" i="1"/>
  <c r="O33" i="1"/>
  <c r="O35" i="1"/>
  <c r="O26" i="1"/>
  <c r="O25" i="1"/>
  <c r="I35" i="3"/>
  <c r="D27" i="3"/>
  <c r="C27" i="3"/>
  <c r="B27" i="3"/>
  <c r="J81" i="9"/>
  <c r="D136" i="1"/>
  <c r="AG81" i="9"/>
  <c r="K136" i="1"/>
  <c r="AH81" i="9"/>
  <c r="L136" i="1"/>
  <c r="J78" i="9"/>
  <c r="D134" i="1" s="1"/>
  <c r="C132" i="1"/>
  <c r="K75" i="9"/>
  <c r="E132" i="1"/>
  <c r="G6" i="9" l="1"/>
  <c r="G25" i="9" s="1"/>
  <c r="G72" i="9" s="1"/>
  <c r="C26" i="1"/>
  <c r="H42" i="2"/>
  <c r="M12" i="2" s="1"/>
  <c r="Q12" i="2" s="1"/>
  <c r="T12" i="2" s="1"/>
  <c r="G13" i="2"/>
  <c r="G29" i="2"/>
  <c r="H29" i="2"/>
  <c r="M11" i="2" s="1"/>
  <c r="R11" i="2" s="1"/>
  <c r="U11" i="2" s="1"/>
  <c r="H13" i="2"/>
  <c r="M10" i="2" s="1"/>
  <c r="AI75" i="9"/>
  <c r="M132" i="1" s="1"/>
  <c r="AE25" i="9"/>
  <c r="AG75" i="9"/>
  <c r="K132" i="1" s="1"/>
  <c r="AH75" i="9"/>
  <c r="L132" i="1" s="1"/>
  <c r="AH78" i="9"/>
  <c r="L134" i="1" s="1"/>
  <c r="AE72" i="9"/>
  <c r="K26" i="1" s="1"/>
  <c r="L28" i="1"/>
  <c r="D5" i="24"/>
  <c r="D6" i="24"/>
  <c r="D4" i="24" s="1"/>
  <c r="M29" i="1"/>
  <c r="L29" i="1"/>
  <c r="AB67" i="8"/>
  <c r="L25" i="1"/>
  <c r="D2" i="24"/>
  <c r="M25" i="1"/>
  <c r="R40" i="8"/>
  <c r="R67" i="8" s="1"/>
  <c r="W75" i="9"/>
  <c r="I132" i="1" s="1"/>
  <c r="V78" i="9"/>
  <c r="H134" i="1" s="1"/>
  <c r="W78" i="9"/>
  <c r="I134" i="1" s="1"/>
  <c r="S47" i="9"/>
  <c r="S72" i="9" s="1"/>
  <c r="G26" i="1" s="1"/>
  <c r="I44" i="1"/>
  <c r="H25" i="1"/>
  <c r="J7" i="2"/>
  <c r="D29" i="1"/>
  <c r="E29" i="1"/>
  <c r="B6" i="24"/>
  <c r="H40" i="8"/>
  <c r="H67" i="8" s="1"/>
  <c r="H19" i="8"/>
  <c r="D36" i="1"/>
  <c r="B2" i="24"/>
  <c r="D25" i="1"/>
  <c r="E25" i="1"/>
  <c r="E44" i="1"/>
  <c r="D44" i="1"/>
  <c r="B21" i="24"/>
  <c r="B22" i="24"/>
  <c r="D45" i="1"/>
  <c r="E45" i="1"/>
  <c r="E49" i="1"/>
  <c r="E36" i="1"/>
  <c r="D49" i="1"/>
  <c r="B11" i="24"/>
  <c r="I23" i="2"/>
  <c r="Q10" i="2"/>
  <c r="T10" i="2" s="1"/>
  <c r="C52" i="1" s="1"/>
  <c r="E52" i="1" s="1"/>
  <c r="J22" i="2"/>
  <c r="I11" i="2"/>
  <c r="J18" i="2"/>
  <c r="J12" i="2"/>
  <c r="I27" i="2"/>
  <c r="J38" i="2"/>
  <c r="H35" i="19"/>
  <c r="E35" i="19" s="1"/>
  <c r="F42" i="19" s="1"/>
  <c r="G42" i="19" s="1"/>
  <c r="F13" i="19"/>
  <c r="C13" i="19" s="1"/>
  <c r="C69" i="1" s="1"/>
  <c r="E69" i="1" s="1"/>
  <c r="H14" i="19"/>
  <c r="E14" i="19" s="1"/>
  <c r="K70" i="1" s="1"/>
  <c r="D38" i="24" s="1"/>
  <c r="C33" i="24"/>
  <c r="I60" i="1"/>
  <c r="C28" i="24"/>
  <c r="H51" i="1"/>
  <c r="I51" i="1"/>
  <c r="C23" i="24"/>
  <c r="I46" i="1"/>
  <c r="H46" i="1"/>
  <c r="I35" i="1"/>
  <c r="H35" i="1"/>
  <c r="C12" i="24"/>
  <c r="C7" i="20"/>
  <c r="F26" i="19"/>
  <c r="C26" i="19" s="1"/>
  <c r="B41" i="19" s="1"/>
  <c r="I38" i="2"/>
  <c r="D32" i="1"/>
  <c r="D49" i="20"/>
  <c r="D57" i="20" s="1"/>
  <c r="D60" i="20" s="1"/>
  <c r="K18" i="1" s="1"/>
  <c r="J26" i="2"/>
  <c r="I34" i="2"/>
  <c r="B9" i="24"/>
  <c r="M41" i="1"/>
  <c r="L41" i="1"/>
  <c r="I19" i="2"/>
  <c r="J8" i="2"/>
  <c r="J34" i="2"/>
  <c r="S10" i="2"/>
  <c r="V10" i="2" s="1"/>
  <c r="K52" i="1" s="1"/>
  <c r="D29" i="24" s="1"/>
  <c r="H13" i="19"/>
  <c r="E13" i="19" s="1"/>
  <c r="K69" i="1" s="1"/>
  <c r="M69" i="1" s="1"/>
  <c r="D31" i="24"/>
  <c r="L58" i="1"/>
  <c r="M58" i="1"/>
  <c r="L38" i="1"/>
  <c r="D15" i="24"/>
  <c r="M38" i="1"/>
  <c r="L51" i="1"/>
  <c r="M51" i="1"/>
  <c r="D28" i="24"/>
  <c r="M48" i="1"/>
  <c r="L48" i="1"/>
  <c r="D25" i="24"/>
  <c r="D20" i="24"/>
  <c r="L43" i="1"/>
  <c r="M43" i="1"/>
  <c r="M36" i="1"/>
  <c r="L36" i="1"/>
  <c r="D13" i="24"/>
  <c r="D10" i="24"/>
  <c r="L33" i="1"/>
  <c r="L53" i="1"/>
  <c r="D30" i="24"/>
  <c r="M53" i="1"/>
  <c r="D8" i="24"/>
  <c r="L31" i="1"/>
  <c r="M31" i="1"/>
  <c r="M60" i="1"/>
  <c r="L60" i="1"/>
  <c r="D33" i="24"/>
  <c r="M50" i="1"/>
  <c r="L50" i="1"/>
  <c r="D27" i="24"/>
  <c r="L46" i="1"/>
  <c r="D23" i="24"/>
  <c r="M46" i="1"/>
  <c r="L42" i="1"/>
  <c r="M42" i="1"/>
  <c r="D19" i="24"/>
  <c r="L39" i="1"/>
  <c r="D16" i="24"/>
  <c r="M39" i="1"/>
  <c r="L62" i="1"/>
  <c r="M62" i="1"/>
  <c r="D35" i="24"/>
  <c r="D32" i="24"/>
  <c r="L59" i="1"/>
  <c r="M59" i="1"/>
  <c r="D26" i="24"/>
  <c r="L49" i="1"/>
  <c r="M49" i="1"/>
  <c r="D9" i="24"/>
  <c r="L32" i="1"/>
  <c r="M32" i="1"/>
  <c r="D12" i="24"/>
  <c r="D11" i="24" s="1"/>
  <c r="D18" i="24"/>
  <c r="F14" i="19"/>
  <c r="C14" i="19" s="1"/>
  <c r="C70" i="1" s="1"/>
  <c r="E70" i="1" s="1"/>
  <c r="R12" i="2"/>
  <c r="U12" i="2" s="1"/>
  <c r="L35" i="1"/>
  <c r="D22" i="20"/>
  <c r="D25" i="20" s="1"/>
  <c r="D7" i="20"/>
  <c r="D43" i="20"/>
  <c r="I53" i="1"/>
  <c r="C30" i="24"/>
  <c r="H53" i="1"/>
  <c r="C35" i="24"/>
  <c r="I62" i="1"/>
  <c r="H62" i="1"/>
  <c r="H59" i="1"/>
  <c r="C32" i="24"/>
  <c r="I59" i="1"/>
  <c r="C19" i="24"/>
  <c r="H42" i="1"/>
  <c r="I42" i="1"/>
  <c r="I31" i="1"/>
  <c r="H31" i="1"/>
  <c r="C8" i="24"/>
  <c r="C27" i="24"/>
  <c r="H50" i="1"/>
  <c r="I50" i="1"/>
  <c r="H36" i="1"/>
  <c r="C13" i="24"/>
  <c r="I36" i="1"/>
  <c r="I49" i="1"/>
  <c r="C26" i="24"/>
  <c r="H49" i="1"/>
  <c r="C18" i="24"/>
  <c r="I41" i="1"/>
  <c r="H41" i="1"/>
  <c r="I38" i="1"/>
  <c r="C15" i="24"/>
  <c r="C14" i="24" s="1"/>
  <c r="H38" i="1"/>
  <c r="C31" i="24"/>
  <c r="H58" i="1"/>
  <c r="I58" i="1"/>
  <c r="I48" i="1"/>
  <c r="C25" i="24"/>
  <c r="H48" i="1"/>
  <c r="I43" i="1"/>
  <c r="H43" i="1"/>
  <c r="C20" i="24"/>
  <c r="I32" i="1"/>
  <c r="H32" i="1"/>
  <c r="C9" i="24"/>
  <c r="I26" i="2"/>
  <c r="I18" i="2"/>
  <c r="J25" i="2"/>
  <c r="J21" i="2"/>
  <c r="I10" i="2"/>
  <c r="J11" i="2"/>
  <c r="I41" i="2"/>
  <c r="I37" i="2"/>
  <c r="J41" i="2"/>
  <c r="J37" i="2"/>
  <c r="H33" i="1"/>
  <c r="I25" i="2"/>
  <c r="I21" i="2"/>
  <c r="J28" i="2"/>
  <c r="J24" i="2"/>
  <c r="J20" i="2"/>
  <c r="I9" i="2"/>
  <c r="J10" i="2"/>
  <c r="I40" i="2"/>
  <c r="I36" i="2"/>
  <c r="J40" i="2"/>
  <c r="J36" i="2"/>
  <c r="I39" i="1"/>
  <c r="H60" i="1"/>
  <c r="I22" i="2"/>
  <c r="I28" i="2"/>
  <c r="I24" i="2"/>
  <c r="I20" i="2"/>
  <c r="J27" i="2"/>
  <c r="J23" i="2"/>
  <c r="J19" i="2"/>
  <c r="I12" i="2"/>
  <c r="I8" i="2"/>
  <c r="J9" i="2"/>
  <c r="I39" i="2"/>
  <c r="I35" i="2"/>
  <c r="J39" i="2"/>
  <c r="J35" i="2"/>
  <c r="H39" i="1"/>
  <c r="D13" i="20"/>
  <c r="D16" i="20" s="1"/>
  <c r="G14" i="19"/>
  <c r="D14" i="19" s="1"/>
  <c r="G70" i="1" s="1"/>
  <c r="B43" i="20"/>
  <c r="C49" i="20"/>
  <c r="C52" i="20" s="1"/>
  <c r="C13" i="20"/>
  <c r="C16" i="20" s="1"/>
  <c r="G13" i="19"/>
  <c r="D13" i="19" s="1"/>
  <c r="G69" i="1" s="1"/>
  <c r="C37" i="24" s="1"/>
  <c r="G35" i="19"/>
  <c r="D35" i="19" s="1"/>
  <c r="D42" i="19" s="1"/>
  <c r="E42" i="19" s="1"/>
  <c r="K80" i="1"/>
  <c r="L80" i="1" s="1"/>
  <c r="M70" i="1"/>
  <c r="L70" i="1"/>
  <c r="G26" i="19"/>
  <c r="D26" i="19" s="1"/>
  <c r="D41" i="19" s="1"/>
  <c r="E41" i="19" s="1"/>
  <c r="H26" i="19"/>
  <c r="E26" i="19" s="1"/>
  <c r="F41" i="19" s="1"/>
  <c r="B30" i="24"/>
  <c r="E53" i="1"/>
  <c r="D53" i="1"/>
  <c r="E58" i="1"/>
  <c r="D58" i="1"/>
  <c r="B32" i="24"/>
  <c r="D59" i="1"/>
  <c r="E59" i="1"/>
  <c r="L69" i="1"/>
  <c r="D48" i="1"/>
  <c r="E48" i="1"/>
  <c r="B25" i="24"/>
  <c r="B24" i="24" s="1"/>
  <c r="I7" i="2"/>
  <c r="R10" i="2"/>
  <c r="U10" i="2" s="1"/>
  <c r="G52" i="1" s="1"/>
  <c r="D26" i="1"/>
  <c r="B19" i="24"/>
  <c r="S11" i="2"/>
  <c r="V11" i="2" s="1"/>
  <c r="D62" i="1"/>
  <c r="E62" i="1"/>
  <c r="B35" i="24"/>
  <c r="B36" i="24" s="1"/>
  <c r="E60" i="1"/>
  <c r="B33" i="24"/>
  <c r="E50" i="1"/>
  <c r="B27" i="24"/>
  <c r="B16" i="24"/>
  <c r="E39" i="1"/>
  <c r="D41" i="1"/>
  <c r="B18" i="24"/>
  <c r="B23" i="24"/>
  <c r="E46" i="1"/>
  <c r="E26" i="1"/>
  <c r="B3" i="24"/>
  <c r="E35" i="1"/>
  <c r="D35" i="1"/>
  <c r="B31" i="24"/>
  <c r="E43" i="1"/>
  <c r="B20" i="24"/>
  <c r="D33" i="1"/>
  <c r="B10" i="24"/>
  <c r="D51" i="1"/>
  <c r="E51" i="1"/>
  <c r="E38" i="1"/>
  <c r="D38" i="1"/>
  <c r="B15" i="24"/>
  <c r="E31" i="1"/>
  <c r="B8" i="24"/>
  <c r="E42" i="1"/>
  <c r="B22" i="20"/>
  <c r="B7" i="20"/>
  <c r="C22" i="20"/>
  <c r="B13" i="20"/>
  <c r="B49" i="20"/>
  <c r="H12" i="19"/>
  <c r="E12" i="19" s="1"/>
  <c r="K61" i="1" s="1"/>
  <c r="G12" i="19"/>
  <c r="D12" i="19" s="1"/>
  <c r="G61" i="1" s="1"/>
  <c r="F35" i="19"/>
  <c r="C35" i="19" s="1"/>
  <c r="F12" i="19"/>
  <c r="C12" i="19" s="1"/>
  <c r="C61" i="1" s="1"/>
  <c r="S12" i="2" l="1"/>
  <c r="V12" i="2" s="1"/>
  <c r="Q11" i="2"/>
  <c r="T11" i="2" s="1"/>
  <c r="M15" i="2"/>
  <c r="M14" i="2"/>
  <c r="M26" i="1"/>
  <c r="L26" i="1"/>
  <c r="D3" i="24"/>
  <c r="K54" i="1"/>
  <c r="L2" i="24" s="1"/>
  <c r="G28" i="1"/>
  <c r="I28" i="1" s="1"/>
  <c r="H26" i="1"/>
  <c r="I26" i="1"/>
  <c r="C3" i="24"/>
  <c r="G54" i="1"/>
  <c r="K2" i="24" s="1"/>
  <c r="C28" i="1"/>
  <c r="B5" i="24" s="1"/>
  <c r="B4" i="24" s="1"/>
  <c r="C79" i="1"/>
  <c r="D31" i="20"/>
  <c r="D34" i="20" s="1"/>
  <c r="K17" i="1" s="1"/>
  <c r="K21" i="1" s="1"/>
  <c r="K92" i="1" s="1"/>
  <c r="C71" i="1"/>
  <c r="B40" i="24" s="1"/>
  <c r="D36" i="24"/>
  <c r="D17" i="24"/>
  <c r="D70" i="1"/>
  <c r="D37" i="24"/>
  <c r="C11" i="24"/>
  <c r="C36" i="24"/>
  <c r="B37" i="24"/>
  <c r="B38" i="24"/>
  <c r="D69" i="1"/>
  <c r="K71" i="1"/>
  <c r="M71" i="1" s="1"/>
  <c r="G79" i="1"/>
  <c r="I79" i="1" s="1"/>
  <c r="D52" i="20"/>
  <c r="M52" i="1"/>
  <c r="M54" i="1" s="1"/>
  <c r="L52" i="1"/>
  <c r="J42" i="2"/>
  <c r="C24" i="24"/>
  <c r="G71" i="1"/>
  <c r="H71" i="1" s="1"/>
  <c r="J13" i="2"/>
  <c r="G80" i="1"/>
  <c r="I42" i="2"/>
  <c r="I29" i="2"/>
  <c r="D24" i="24"/>
  <c r="C29" i="24"/>
  <c r="I69" i="1"/>
  <c r="H69" i="1"/>
  <c r="I13" i="2"/>
  <c r="J29" i="2"/>
  <c r="D14" i="24"/>
  <c r="C17" i="24"/>
  <c r="C57" i="20"/>
  <c r="C60" i="20" s="1"/>
  <c r="G18" i="1" s="1"/>
  <c r="K79" i="1"/>
  <c r="L79" i="1" s="1"/>
  <c r="C38" i="24"/>
  <c r="I70" i="1"/>
  <c r="H70" i="1"/>
  <c r="M80" i="1"/>
  <c r="G41" i="19"/>
  <c r="G43" i="19" s="1"/>
  <c r="F43" i="19"/>
  <c r="B29" i="24"/>
  <c r="D52" i="1"/>
  <c r="B14" i="24"/>
  <c r="H52" i="1"/>
  <c r="I52" i="1"/>
  <c r="E43" i="19"/>
  <c r="D43" i="19"/>
  <c r="B17" i="24"/>
  <c r="B57" i="20"/>
  <c r="B60" i="20" s="1"/>
  <c r="C18" i="1" s="1"/>
  <c r="B52" i="20"/>
  <c r="B25" i="20"/>
  <c r="F22" i="20"/>
  <c r="B31" i="20"/>
  <c r="B34" i="20" s="1"/>
  <c r="C17" i="1" s="1"/>
  <c r="G63" i="1"/>
  <c r="K3" i="24" s="1"/>
  <c r="H61" i="1"/>
  <c r="I61" i="1"/>
  <c r="I63" i="1" s="1"/>
  <c r="C34" i="24"/>
  <c r="B16" i="20"/>
  <c r="F13" i="20"/>
  <c r="E79" i="1"/>
  <c r="D79" i="1"/>
  <c r="B34" i="24"/>
  <c r="D61" i="1"/>
  <c r="E61" i="1"/>
  <c r="E63" i="1" s="1"/>
  <c r="C80" i="1"/>
  <c r="C81" i="1" s="1"/>
  <c r="B42" i="19"/>
  <c r="C42" i="19" s="1"/>
  <c r="K63" i="1"/>
  <c r="L3" i="24" s="1"/>
  <c r="L61" i="1"/>
  <c r="M61" i="1"/>
  <c r="M63" i="1" s="1"/>
  <c r="D34" i="24"/>
  <c r="C25" i="20"/>
  <c r="C31" i="20"/>
  <c r="C34" i="20" s="1"/>
  <c r="G17" i="1" s="1"/>
  <c r="C63" i="1"/>
  <c r="C41" i="19"/>
  <c r="Q15" i="2" l="1"/>
  <c r="T15" i="2" s="1"/>
  <c r="S15" i="2"/>
  <c r="V15" i="2" s="1"/>
  <c r="R15" i="2"/>
  <c r="U15" i="2" s="1"/>
  <c r="Q14" i="2"/>
  <c r="T14" i="2" s="1"/>
  <c r="R14" i="2"/>
  <c r="U14" i="2" s="1"/>
  <c r="G72" i="1" s="1"/>
  <c r="S14" i="2"/>
  <c r="V14" i="2" s="1"/>
  <c r="K72" i="1" s="1"/>
  <c r="L72" i="1" s="1"/>
  <c r="C21" i="1"/>
  <c r="C96" i="1" s="1"/>
  <c r="C5" i="24"/>
  <c r="C4" i="24" s="1"/>
  <c r="H28" i="1"/>
  <c r="I54" i="1"/>
  <c r="I64" i="1" s="1"/>
  <c r="D41" i="24"/>
  <c r="E71" i="1"/>
  <c r="D71" i="1"/>
  <c r="C54" i="1"/>
  <c r="J2" i="24" s="1"/>
  <c r="E28" i="1"/>
  <c r="E54" i="1" s="1"/>
  <c r="E64" i="1" s="1"/>
  <c r="D28" i="1"/>
  <c r="I71" i="1"/>
  <c r="G81" i="1"/>
  <c r="K81" i="1"/>
  <c r="L71" i="1"/>
  <c r="G21" i="1"/>
  <c r="G96" i="1" s="1"/>
  <c r="H79" i="1"/>
  <c r="M72" i="1"/>
  <c r="M73" i="1" s="1"/>
  <c r="D40" i="24"/>
  <c r="D39" i="24" s="1"/>
  <c r="H72" i="1"/>
  <c r="K73" i="1"/>
  <c r="C40" i="24"/>
  <c r="C39" i="24" s="1"/>
  <c r="M64" i="1"/>
  <c r="M79" i="1"/>
  <c r="M81" i="1" s="1"/>
  <c r="H80" i="1"/>
  <c r="I80" i="1"/>
  <c r="I81" i="1" s="1"/>
  <c r="G73" i="1"/>
  <c r="B39" i="24"/>
  <c r="C43" i="19"/>
  <c r="J3" i="24"/>
  <c r="E21" i="1"/>
  <c r="B20" i="19" s="1"/>
  <c r="G64" i="1"/>
  <c r="D80" i="1"/>
  <c r="E80" i="1"/>
  <c r="E81" i="1" s="1"/>
  <c r="B43" i="19"/>
  <c r="K64" i="1"/>
  <c r="E6" i="23"/>
  <c r="M21" i="1"/>
  <c r="D20" i="19" s="1"/>
  <c r="K55" i="1"/>
  <c r="M55" i="1" s="1"/>
  <c r="K96" i="1"/>
  <c r="C72" i="1" l="1"/>
  <c r="C41" i="24"/>
  <c r="I72" i="1"/>
  <c r="I73" i="1" s="1"/>
  <c r="C92" i="1"/>
  <c r="E4" i="23"/>
  <c r="C55" i="1"/>
  <c r="E55" i="1" s="1"/>
  <c r="C64" i="1"/>
  <c r="C108" i="1" s="1"/>
  <c r="G55" i="1"/>
  <c r="I55" i="1" s="1"/>
  <c r="E5" i="23"/>
  <c r="G92" i="1"/>
  <c r="I21" i="1"/>
  <c r="C20" i="19" s="1"/>
  <c r="H20" i="19" s="1"/>
  <c r="G65" i="1"/>
  <c r="I65" i="1" s="1"/>
  <c r="K74" i="1"/>
  <c r="K82" i="1" s="1"/>
  <c r="K83" i="1" s="1"/>
  <c r="M83" i="1" s="1"/>
  <c r="K65" i="1"/>
  <c r="M65" i="1" s="1"/>
  <c r="K107" i="1"/>
  <c r="K108" i="1"/>
  <c r="F6" i="23"/>
  <c r="G6" i="23" s="1"/>
  <c r="L4" i="24"/>
  <c r="K88" i="1"/>
  <c r="G107" i="1"/>
  <c r="F5" i="23"/>
  <c r="K4" i="24"/>
  <c r="G108" i="1"/>
  <c r="G88" i="1"/>
  <c r="G74" i="1"/>
  <c r="B41" i="24" l="1"/>
  <c r="C73" i="1"/>
  <c r="C74" i="1" s="1"/>
  <c r="D72" i="1"/>
  <c r="E72" i="1"/>
  <c r="E73" i="1" s="1"/>
  <c r="C65" i="1"/>
  <c r="E65" i="1" s="1"/>
  <c r="J4" i="24"/>
  <c r="G100" i="1"/>
  <c r="G5" i="23"/>
  <c r="C88" i="1"/>
  <c r="F4" i="23"/>
  <c r="G4" i="23" s="1"/>
  <c r="C107" i="1"/>
  <c r="F49" i="19"/>
  <c r="K112" i="1"/>
  <c r="F48" i="19"/>
  <c r="K115" i="1"/>
  <c r="K116" i="1"/>
  <c r="F52" i="19"/>
  <c r="K75" i="1"/>
  <c r="F40" i="19" s="1"/>
  <c r="G40" i="19" s="1"/>
  <c r="G44" i="19" s="1"/>
  <c r="M74" i="1"/>
  <c r="K111" i="1"/>
  <c r="F53" i="19"/>
  <c r="C100" i="1"/>
  <c r="K119" i="1"/>
  <c r="K120" i="1"/>
  <c r="M82" i="1"/>
  <c r="K100" i="1"/>
  <c r="G115" i="1"/>
  <c r="I74" i="1"/>
  <c r="D52" i="19"/>
  <c r="D49" i="19"/>
  <c r="D53" i="19"/>
  <c r="G111" i="1"/>
  <c r="D48" i="19"/>
  <c r="G116" i="1"/>
  <c r="G112" i="1"/>
  <c r="G82" i="1"/>
  <c r="G75" i="1"/>
  <c r="C75" i="1" l="1"/>
  <c r="B53" i="19"/>
  <c r="C82" i="1"/>
  <c r="E82" i="1" s="1"/>
  <c r="B48" i="19"/>
  <c r="C112" i="1"/>
  <c r="C115" i="1"/>
  <c r="E74" i="1"/>
  <c r="B49" i="19"/>
  <c r="B52" i="19"/>
  <c r="C111" i="1"/>
  <c r="C116" i="1"/>
  <c r="C9" i="23"/>
  <c r="C15" i="23"/>
  <c r="M75" i="1"/>
  <c r="F44" i="19"/>
  <c r="C83" i="1"/>
  <c r="E83" i="1" s="1"/>
  <c r="C119" i="1"/>
  <c r="I82" i="1"/>
  <c r="G120" i="1"/>
  <c r="G119" i="1"/>
  <c r="G83" i="1"/>
  <c r="I83" i="1" s="1"/>
  <c r="D40" i="19"/>
  <c r="I75" i="1"/>
  <c r="C120" i="1" l="1"/>
  <c r="E75" i="1"/>
  <c r="B40" i="19"/>
  <c r="E40" i="19"/>
  <c r="E44" i="19" s="1"/>
  <c r="D44" i="19"/>
  <c r="B44" i="19" l="1"/>
  <c r="C40" i="19"/>
  <c r="C44" i="19" s="1"/>
</calcChain>
</file>

<file path=xl/sharedStrings.xml><?xml version="1.0" encoding="utf-8"?>
<sst xmlns="http://schemas.openxmlformats.org/spreadsheetml/2006/main" count="3255" uniqueCount="829">
  <si>
    <t>Pounds per Material</t>
  </si>
  <si>
    <t>Macronutrients</t>
  </si>
  <si>
    <t>Nitrogen</t>
  </si>
  <si>
    <t>Phosphorus</t>
  </si>
  <si>
    <t>Potassium</t>
  </si>
  <si>
    <t>Sulfur</t>
  </si>
  <si>
    <t>Magnesium</t>
  </si>
  <si>
    <t>Calcium</t>
  </si>
  <si>
    <t>Zinc</t>
  </si>
  <si>
    <t>Boron</t>
  </si>
  <si>
    <t>Unit Size</t>
  </si>
  <si>
    <t>Units</t>
  </si>
  <si>
    <t>Units/Pkg</t>
  </si>
  <si>
    <t>None</t>
  </si>
  <si>
    <t>UAN 28% (28-0-0)</t>
  </si>
  <si>
    <t>gal</t>
  </si>
  <si>
    <t>Tons</t>
  </si>
  <si>
    <t>Ammonium polyphosphate (10-34-0)</t>
  </si>
  <si>
    <t>Urea (46-0-0)</t>
  </si>
  <si>
    <t>lbs</t>
  </si>
  <si>
    <t>Potash (0-0-62)</t>
  </si>
  <si>
    <t>Thiosul (12-0-0-26)</t>
  </si>
  <si>
    <t>DAP (18-46-0)</t>
  </si>
  <si>
    <t>AMS (21-0-0-24S)</t>
  </si>
  <si>
    <t>K-Mag (0-0-22-11Mg-21S)</t>
  </si>
  <si>
    <t>Gallons</t>
  </si>
  <si>
    <t>Gypsum (0-0-0-17S-21Ca)</t>
  </si>
  <si>
    <t>Anhydrous (82-0-0)</t>
  </si>
  <si>
    <t>Micronutrients</t>
  </si>
  <si>
    <t>Boron (14.3%)</t>
  </si>
  <si>
    <t>Pound</t>
  </si>
  <si>
    <t>Zinc (35.5%)</t>
  </si>
  <si>
    <t>qts</t>
  </si>
  <si>
    <t>Lime</t>
  </si>
  <si>
    <t>Pelleted Lime</t>
  </si>
  <si>
    <t>Ton</t>
  </si>
  <si>
    <t>Dolometic</t>
  </si>
  <si>
    <t>tons</t>
  </si>
  <si>
    <t>High Calcium</t>
  </si>
  <si>
    <t>Nitrogen Stabilizers</t>
  </si>
  <si>
    <t>N-Serve</t>
  </si>
  <si>
    <t>ozs</t>
  </si>
  <si>
    <t>Instinct HL</t>
  </si>
  <si>
    <t>Factor</t>
  </si>
  <si>
    <t>qt/ton</t>
  </si>
  <si>
    <t>Nutrisphere</t>
  </si>
  <si>
    <t>Agrotain</t>
  </si>
  <si>
    <t>Instinct</t>
  </si>
  <si>
    <t>Name</t>
  </si>
  <si>
    <t>Selling Unit</t>
  </si>
  <si>
    <t>Rate Unit</t>
  </si>
  <si>
    <t>App Unit</t>
  </si>
  <si>
    <t>qt</t>
  </si>
  <si>
    <t>2,4-D</t>
  </si>
  <si>
    <t>pt</t>
  </si>
  <si>
    <t>Gallon</t>
  </si>
  <si>
    <t>Armezon/Impact</t>
  </si>
  <si>
    <t>oz</t>
  </si>
  <si>
    <t>Ounce</t>
  </si>
  <si>
    <t>Armezon Pro</t>
  </si>
  <si>
    <t>lb</t>
  </si>
  <si>
    <t>Cadet</t>
  </si>
  <si>
    <t>Quart</t>
  </si>
  <si>
    <t>Capreno</t>
  </si>
  <si>
    <t>Corvus</t>
  </si>
  <si>
    <t>Halex GT</t>
  </si>
  <si>
    <t>Lexar EZ</t>
  </si>
  <si>
    <t>Liberty</t>
  </si>
  <si>
    <t>Lumax EZ</t>
  </si>
  <si>
    <t>Outlook</t>
  </si>
  <si>
    <t>Prowl H20</t>
  </si>
  <si>
    <t>Sharpen</t>
  </si>
  <si>
    <t>Verdict</t>
  </si>
  <si>
    <t>Warrant</t>
  </si>
  <si>
    <t>Zidua</t>
  </si>
  <si>
    <t>Ammonium Sulfate</t>
  </si>
  <si>
    <t>Priaxor</t>
  </si>
  <si>
    <t>Stratego YLD</t>
  </si>
  <si>
    <t>Corn</t>
  </si>
  <si>
    <t>Per Acre</t>
  </si>
  <si>
    <t>Loans</t>
  </si>
  <si>
    <t>Acres to Cover Loans:</t>
  </si>
  <si>
    <t>Operating</t>
  </si>
  <si>
    <t>Description</t>
  </si>
  <si>
    <t>Purchase Price</t>
  </si>
  <si>
    <t>Loan Terms (Years)</t>
  </si>
  <si>
    <t>Interest Rate</t>
  </si>
  <si>
    <t>Yearly Payment</t>
  </si>
  <si>
    <t>Interest Payment</t>
  </si>
  <si>
    <t>Interest Payment/Acre</t>
  </si>
  <si>
    <t>Yearly Payment/Acre</t>
  </si>
  <si>
    <t>Revolving Line-of-Credit</t>
  </si>
  <si>
    <t>Seed Financing</t>
  </si>
  <si>
    <t>Chemical Financing</t>
  </si>
  <si>
    <t>Total Cost</t>
  </si>
  <si>
    <t>Capital Purchases</t>
  </si>
  <si>
    <t>Tractor</t>
  </si>
  <si>
    <t>Total Field</t>
  </si>
  <si>
    <t>Seed</t>
  </si>
  <si>
    <t>Fertilizer</t>
  </si>
  <si>
    <t>Custom Hire</t>
  </si>
  <si>
    <t>Driver &amp; Equipment Hire</t>
  </si>
  <si>
    <t>Equipment Hire</t>
  </si>
  <si>
    <t>Crop Insurance</t>
  </si>
  <si>
    <t>Freight &amp; Trucking</t>
  </si>
  <si>
    <t>Gas/Fuel</t>
  </si>
  <si>
    <t>Equipment Fuel</t>
  </si>
  <si>
    <t>Drying Propane</t>
  </si>
  <si>
    <t>Repairs &amp; Maintenance</t>
  </si>
  <si>
    <t>Supplies</t>
  </si>
  <si>
    <t>Storage</t>
  </si>
  <si>
    <t>Utilities</t>
  </si>
  <si>
    <t>Irrigation</t>
  </si>
  <si>
    <t>Property Taxes</t>
  </si>
  <si>
    <t>Land</t>
  </si>
  <si>
    <t>N</t>
  </si>
  <si>
    <t>P</t>
  </si>
  <si>
    <t>K</t>
  </si>
  <si>
    <t>S</t>
  </si>
  <si>
    <t>Ca</t>
  </si>
  <si>
    <t>Mg</t>
  </si>
  <si>
    <t>Z</t>
  </si>
  <si>
    <t>B</t>
  </si>
  <si>
    <t>Mn</t>
  </si>
  <si>
    <t>Brand</t>
  </si>
  <si>
    <t>Purchase Units</t>
  </si>
  <si>
    <t>Package Price (Gals, Lbs, etc.)</t>
  </si>
  <si>
    <t>Rate/Acre</t>
  </si>
  <si>
    <t>Cost</t>
  </si>
  <si>
    <t>Acres</t>
  </si>
  <si>
    <t>Fungicides</t>
  </si>
  <si>
    <t>Bushels</t>
  </si>
  <si>
    <t>Repairs</t>
  </si>
  <si>
    <t>Fuel/Electricity</t>
  </si>
  <si>
    <t>Starter Fertilizer</t>
  </si>
  <si>
    <t>Land Purchases</t>
  </si>
  <si>
    <t>Planting Rate</t>
  </si>
  <si>
    <t>Soybeans</t>
  </si>
  <si>
    <t>Wheat</t>
  </si>
  <si>
    <t>Cost/Acre</t>
  </si>
  <si>
    <t>Sugar Beets</t>
  </si>
  <si>
    <t>Alfalfa Hay</t>
  </si>
  <si>
    <t>Dry Beans</t>
  </si>
  <si>
    <t>Expected Yield</t>
  </si>
  <si>
    <t>INCOME</t>
  </si>
  <si>
    <t>CWT</t>
  </si>
  <si>
    <t>MAP (11-52-00)</t>
  </si>
  <si>
    <t>Fertilizer Source</t>
  </si>
  <si>
    <t>Side-Dress/Post-Emerge</t>
  </si>
  <si>
    <t>Total Fertilizer Cost/Acre</t>
  </si>
  <si>
    <t>Starter Fertilizer Cost/Acre</t>
  </si>
  <si>
    <t>Broadcast Fertilizer Cost/Acre</t>
  </si>
  <si>
    <t>Post-Emerge Fertilizer Cost/Acre</t>
  </si>
  <si>
    <t>(Enter Below)</t>
  </si>
  <si>
    <t>Corn Chemicals</t>
  </si>
  <si>
    <t>Boundary</t>
  </si>
  <si>
    <t>Optill</t>
  </si>
  <si>
    <t>Reflex</t>
  </si>
  <si>
    <t>Soybean Chemicals</t>
  </si>
  <si>
    <t>Adjuvants</t>
  </si>
  <si>
    <t>Ammonium Sulfate (Liquid)</t>
  </si>
  <si>
    <t>Ammonium Sulfate (Replacement)</t>
  </si>
  <si>
    <t>Methylated Seed Oil (MSO)</t>
  </si>
  <si>
    <t>Crop Oil Concentrate</t>
  </si>
  <si>
    <t>Drift Agent/Spreader</t>
  </si>
  <si>
    <t>Pre-Plant/Broadcast Fertilizer</t>
  </si>
  <si>
    <t>Pre-plant/Pre-emergence Chemicals</t>
  </si>
  <si>
    <t>Pre-Plant/Pre-Emergence Chemical Cost/Acre</t>
  </si>
  <si>
    <t>Post-Emergence Chemicals</t>
  </si>
  <si>
    <t>Total Chemical Cost/Acre</t>
  </si>
  <si>
    <t>Insecticides</t>
  </si>
  <si>
    <t>Insecticide (pint rate)</t>
  </si>
  <si>
    <t>Insecticide (ounce rate)</t>
  </si>
  <si>
    <t>Insecticide (pound rate)</t>
  </si>
  <si>
    <t>Insecticide (quart rate)</t>
  </si>
  <si>
    <t>Post-Emergence Chemicals Cost/Acre</t>
  </si>
  <si>
    <t>Atrazine (Liquid)</t>
  </si>
  <si>
    <t>Atrazine (Dry)</t>
  </si>
  <si>
    <t>Balance Flexx</t>
  </si>
  <si>
    <t>Breakfree NXT/Harness/Surpass NXT</t>
  </si>
  <si>
    <t>Callisto</t>
  </si>
  <si>
    <t>Dual II Magnum/Cinch/Parallel</t>
  </si>
  <si>
    <t>Princep</t>
  </si>
  <si>
    <t>Python/Accolade</t>
  </si>
  <si>
    <t>Resolve SG</t>
  </si>
  <si>
    <t>Valor/Rowell</t>
  </si>
  <si>
    <t>Acuron</t>
  </si>
  <si>
    <t>Acuron Flex</t>
  </si>
  <si>
    <t>Anthem Maxx</t>
  </si>
  <si>
    <t>Anthem ATZ</t>
  </si>
  <si>
    <t>Basis Blend</t>
  </si>
  <si>
    <t>Bicip II Magnum/Cinch ATZ/Parallel Plus</t>
  </si>
  <si>
    <t>Breakfree NXT Lite/Degree XTRA/Fultime NXT/Keystone LA NXT</t>
  </si>
  <si>
    <t>Breakfree NXT ATZ/Harness XTRA/Keystone NXT</t>
  </si>
  <si>
    <t>Fierce</t>
  </si>
  <si>
    <t>Harness Max</t>
  </si>
  <si>
    <t>Hornet WDG/Stanza</t>
  </si>
  <si>
    <t>Instigate</t>
  </si>
  <si>
    <t>Prequel</t>
  </si>
  <si>
    <t>Soil Premix</t>
  </si>
  <si>
    <t>Soil</t>
  </si>
  <si>
    <t>Resicore</t>
  </si>
  <si>
    <t>Surestart II/TripleFlex II</t>
  </si>
  <si>
    <t>Zemax</t>
  </si>
  <si>
    <t>Post</t>
  </si>
  <si>
    <t>Accent Q</t>
  </si>
  <si>
    <t>Aim</t>
  </si>
  <si>
    <t>Banvel/Clarity</t>
  </si>
  <si>
    <t>Basagran/Broadloom</t>
  </si>
  <si>
    <t>Beacon</t>
  </si>
  <si>
    <t>Buctril/Moxy</t>
  </si>
  <si>
    <t>DiFlexx</t>
  </si>
  <si>
    <t>Laudis</t>
  </si>
  <si>
    <t>Permit</t>
  </si>
  <si>
    <t>Resource</t>
  </si>
  <si>
    <t>Stinger</t>
  </si>
  <si>
    <t>Callisto XTRA</t>
  </si>
  <si>
    <t>DiFlexx Duo</t>
  </si>
  <si>
    <t>Realm Q</t>
  </si>
  <si>
    <t>Resolve Q</t>
  </si>
  <si>
    <t>Revulin Q</t>
  </si>
  <si>
    <t>Solstice</t>
  </si>
  <si>
    <t>Status</t>
  </si>
  <si>
    <t>Steadfast Q</t>
  </si>
  <si>
    <t>Yukon</t>
  </si>
  <si>
    <t>Callisto GT</t>
  </si>
  <si>
    <t>Expert</t>
  </si>
  <si>
    <t>Sequence</t>
  </si>
  <si>
    <t>Timing</t>
  </si>
  <si>
    <t>Site of Action</t>
  </si>
  <si>
    <t>Post Pre-Mix</t>
  </si>
  <si>
    <t>Glyphosate</t>
  </si>
  <si>
    <t>14/15</t>
  </si>
  <si>
    <t>15/14/5</t>
  </si>
  <si>
    <t>15/27</t>
  </si>
  <si>
    <t>5/27</t>
  </si>
  <si>
    <t>2/27</t>
  </si>
  <si>
    <t>4/27</t>
  </si>
  <si>
    <t>2/4</t>
  </si>
  <si>
    <t>9/27</t>
  </si>
  <si>
    <t>5/9/15</t>
  </si>
  <si>
    <t>9/15/27</t>
  </si>
  <si>
    <t>2/2</t>
  </si>
  <si>
    <t>9/15</t>
  </si>
  <si>
    <t>14/27</t>
  </si>
  <si>
    <t>4/19</t>
  </si>
  <si>
    <t>5</t>
  </si>
  <si>
    <t>27</t>
  </si>
  <si>
    <t>15</t>
  </si>
  <si>
    <t>3</t>
  </si>
  <si>
    <t>2</t>
  </si>
  <si>
    <t>14</t>
  </si>
  <si>
    <t>9</t>
  </si>
  <si>
    <t>5/15/27/27</t>
  </si>
  <si>
    <t>15/27/27</t>
  </si>
  <si>
    <t>15/14</t>
  </si>
  <si>
    <t>5/15</t>
  </si>
  <si>
    <t>Bicip II Magnum Lite/Cinch ATZ Lite</t>
  </si>
  <si>
    <t>5/27/15</t>
  </si>
  <si>
    <t>4/15/27</t>
  </si>
  <si>
    <t>2/4/15</t>
  </si>
  <si>
    <t>27/15</t>
  </si>
  <si>
    <t>Enlist One</t>
  </si>
  <si>
    <t>Enlist Duo</t>
  </si>
  <si>
    <t>4</t>
  </si>
  <si>
    <t>4/9</t>
  </si>
  <si>
    <t>6</t>
  </si>
  <si>
    <t>Total Fertilizer Program</t>
  </si>
  <si>
    <t>Mag</t>
  </si>
  <si>
    <t>(Pounds of Actual Nutrient Per Acre)</t>
  </si>
  <si>
    <t>Adjuvant Help Guide</t>
  </si>
  <si>
    <t>Gallons Per Acre</t>
  </si>
  <si>
    <t>Gallons in Tank</t>
  </si>
  <si>
    <t>=Acres/Tank</t>
  </si>
  <si>
    <t>ounces</t>
  </si>
  <si>
    <t>pints</t>
  </si>
  <si>
    <t>Rate Per Tank (lb)</t>
  </si>
  <si>
    <t>Acres/Tank</t>
  </si>
  <si>
    <t>=Rate/Acre</t>
  </si>
  <si>
    <t>Pounds</t>
  </si>
  <si>
    <t xml:space="preserve">v/v % = </t>
  </si>
  <si>
    <t>[(volume of solute)/</t>
  </si>
  <si>
    <t>(volume of solution)]</t>
  </si>
  <si>
    <t xml:space="preserve"> x 100%</t>
  </si>
  <si>
    <t>=</t>
  </si>
  <si>
    <t>1 pint</t>
  </si>
  <si>
    <t>Rate Per Tank (oz)</t>
  </si>
  <si>
    <t>1 quart</t>
  </si>
  <si>
    <t>2 quarts</t>
  </si>
  <si>
    <t>1 gallon</t>
  </si>
  <si>
    <t>Rate Per Tank (pt)</t>
  </si>
  <si>
    <t>Adjuvant (ounces)</t>
  </si>
  <si>
    <t>Adjuvant (pounds)</t>
  </si>
  <si>
    <t>Adjuvant (pints)</t>
  </si>
  <si>
    <t>(for quarts, multiply by 2)</t>
  </si>
  <si>
    <t>Fungicide Cost/Acre</t>
  </si>
  <si>
    <t>Insecticide Cost/Acre</t>
  </si>
  <si>
    <t>1)</t>
  </si>
  <si>
    <t>Each TAB represents a different expense area for the given farm operation.  Click on a TAB to enter specific expense (or income) information.</t>
  </si>
  <si>
    <t>These include:</t>
  </si>
  <si>
    <t>2)</t>
  </si>
  <si>
    <t>Choose the fertilizer from the drop-down menu and enter product/acre to be used.  (i.e. 100lbs/acre of 9-23-30 = 50lbs 18-46-0 &amp; 50lbs 0-0-62lbs)</t>
  </si>
  <si>
    <t>Custom Application</t>
  </si>
  <si>
    <t>Corn Acres</t>
  </si>
  <si>
    <t>Soybean Acres</t>
  </si>
  <si>
    <t>Wheat Acres</t>
  </si>
  <si>
    <t>Land Rent</t>
  </si>
  <si>
    <t>Each crop has its own tab (i.e. Fertilizer - Corn)</t>
  </si>
  <si>
    <t>Input Operating Credits, Capital Purchases (i.e. equipment or livestock), or Land/Buildings.</t>
  </si>
  <si>
    <t>Rate Units</t>
  </si>
  <si>
    <t>Fungicide &amp; Insecticide Chemicals</t>
  </si>
  <si>
    <t>Total Corn Cost</t>
  </si>
  <si>
    <t>Total Soybean Cost</t>
  </si>
  <si>
    <t>Total Wheat Cost</t>
  </si>
  <si>
    <t>Command 3ME</t>
  </si>
  <si>
    <t>13</t>
  </si>
  <si>
    <t>Dual Magnum/Everprex/Parallel</t>
  </si>
  <si>
    <t>Firstrate</t>
  </si>
  <si>
    <t>Lorox/Linex</t>
  </si>
  <si>
    <t>7</t>
  </si>
  <si>
    <t>Metribuzin</t>
  </si>
  <si>
    <t>Prowl H20/Prowl</t>
  </si>
  <si>
    <t>Sonalan (PPI Only)</t>
  </si>
  <si>
    <t>Spartan</t>
  </si>
  <si>
    <t>Trifluralin (PPI Only)</t>
  </si>
  <si>
    <t>Valor/Valor EZ/Rowel</t>
  </si>
  <si>
    <t>Afforia</t>
  </si>
  <si>
    <t>2/2/14</t>
  </si>
  <si>
    <t>Authority Assist</t>
  </si>
  <si>
    <t>2/14</t>
  </si>
  <si>
    <t>Authority First/Sonic</t>
  </si>
  <si>
    <t>Authority Maxx</t>
  </si>
  <si>
    <t>Authority MTZ</t>
  </si>
  <si>
    <t>5/14</t>
  </si>
  <si>
    <t>Authority XL</t>
  </si>
  <si>
    <t>Canopy/Canopy Blend</t>
  </si>
  <si>
    <t>Envive</t>
  </si>
  <si>
    <t>Fierce XLT</t>
  </si>
  <si>
    <t>2/14/15</t>
  </si>
  <si>
    <t>Flexstar GT 3.5</t>
  </si>
  <si>
    <t>9/14</t>
  </si>
  <si>
    <t>Prefix</t>
  </si>
  <si>
    <t>Spartan Charge</t>
  </si>
  <si>
    <t>14/14</t>
  </si>
  <si>
    <t>Surveil</t>
  </si>
  <si>
    <t>Synchrony XP</t>
  </si>
  <si>
    <t>Trivence</t>
  </si>
  <si>
    <t>2/5/14</t>
  </si>
  <si>
    <t>Valor XLT/Rowl FX</t>
  </si>
  <si>
    <t>Warrant Ultra</t>
  </si>
  <si>
    <t>Zidua Pro</t>
  </si>
  <si>
    <t>Assure II/Targa</t>
  </si>
  <si>
    <t>Classic</t>
  </si>
  <si>
    <t>Cobra</t>
  </si>
  <si>
    <t>Flexstar</t>
  </si>
  <si>
    <t>Fusilade DX</t>
  </si>
  <si>
    <t>Fusion</t>
  </si>
  <si>
    <t>Harmony SG</t>
  </si>
  <si>
    <t>Marvel</t>
  </si>
  <si>
    <t>Phoenix</t>
  </si>
  <si>
    <t>Poast/Poast Plus</t>
  </si>
  <si>
    <t>Pursuit</t>
  </si>
  <si>
    <t>Raptor</t>
  </si>
  <si>
    <t>Select Max/Arrow/Select</t>
  </si>
  <si>
    <t>Ultra Blazer</t>
  </si>
  <si>
    <t>Cheetah Max</t>
  </si>
  <si>
    <t>Engenia</t>
  </si>
  <si>
    <t>Xtendimax/Fexapan</t>
  </si>
  <si>
    <t>10</t>
  </si>
  <si>
    <t>10/14</t>
  </si>
  <si>
    <t>2,4-D Amine</t>
  </si>
  <si>
    <t>2,4-D Ester</t>
  </si>
  <si>
    <t>Affinity Broadspec</t>
  </si>
  <si>
    <t>Axial XL</t>
  </si>
  <si>
    <t>Curtail</t>
  </si>
  <si>
    <t>Express</t>
  </si>
  <si>
    <t>Harmony</t>
  </si>
  <si>
    <t>Harmony Extra</t>
  </si>
  <si>
    <t>Huskie</t>
  </si>
  <si>
    <t>MCPA</t>
  </si>
  <si>
    <t>Nimble</t>
  </si>
  <si>
    <t>Osprey</t>
  </si>
  <si>
    <t>Peak</t>
  </si>
  <si>
    <t>Powerflex HL</t>
  </si>
  <si>
    <t>Puma</t>
  </si>
  <si>
    <t>Quelex</t>
  </si>
  <si>
    <t>Starane Ultra</t>
  </si>
  <si>
    <t>Talinor</t>
  </si>
  <si>
    <t>Widematch</t>
  </si>
  <si>
    <t>1</t>
  </si>
  <si>
    <t>4/4</t>
  </si>
  <si>
    <t>6/27</t>
  </si>
  <si>
    <t>Wheat Chemicals</t>
  </si>
  <si>
    <t>Owner Withdrawal</t>
  </si>
  <si>
    <t>Direct &amp; Overhead Expenses</t>
  </si>
  <si>
    <t>Corn Unit Price (i.e. Bag)</t>
  </si>
  <si>
    <t>Soybean Unit Price (i.e. Bag)</t>
  </si>
  <si>
    <t>Wheat Unit Price (i.e. Bag)</t>
  </si>
  <si>
    <t>Seed Purchases</t>
  </si>
  <si>
    <t>Total Labor</t>
  </si>
  <si>
    <t>Principal</t>
  </si>
  <si>
    <t>Financing by Crop</t>
  </si>
  <si>
    <t>Intermediate Interest Exp.</t>
  </si>
  <si>
    <t>Operating Interest Exp.</t>
  </si>
  <si>
    <t>Intermediate Principal</t>
  </si>
  <si>
    <t>Long-Term Interest Exp.</t>
  </si>
  <si>
    <t>Long-Term Principal</t>
  </si>
  <si>
    <t>Corn Cost (total)</t>
  </si>
  <si>
    <t>Soybean Cost (total)</t>
  </si>
  <si>
    <t>Wheat Cost (total)</t>
  </si>
  <si>
    <t>Corn Cost (acre)</t>
  </si>
  <si>
    <t>Soybean Cost (acre)</t>
  </si>
  <si>
    <t>Wheat Cost (acre)</t>
  </si>
  <si>
    <t>Interest</t>
  </si>
  <si>
    <t>OPERATING EXPENSE RATIO</t>
  </si>
  <si>
    <t>Adjuvant rates are based on gallons of water/acre.  The help guide will assist in calculating the rate/acre needed for the Chemical tab.</t>
  </si>
  <si>
    <t>Financial Scorecard</t>
  </si>
  <si>
    <t>0 - 60%</t>
  </si>
  <si>
    <t>60 - 80%</t>
  </si>
  <si>
    <t>80 - 100%</t>
  </si>
  <si>
    <t>Use the Rate/Acre information on the Chemicals expense Tab</t>
  </si>
  <si>
    <r>
      <t xml:space="preserve">Only items that are colored in </t>
    </r>
    <r>
      <rPr>
        <b/>
        <sz val="12"/>
        <color theme="4" tint="-0.249977111117893"/>
        <rFont val="Calibri"/>
        <family val="2"/>
        <scheme val="minor"/>
      </rPr>
      <t>BLUE</t>
    </r>
    <r>
      <rPr>
        <b/>
        <sz val="12"/>
        <color theme="1"/>
        <rFont val="Calibri"/>
        <family val="2"/>
        <scheme val="minor"/>
      </rPr>
      <t xml:space="preserve"> should be altered in each TAB.  Changing the value of an item not marked </t>
    </r>
    <r>
      <rPr>
        <b/>
        <sz val="12"/>
        <color theme="4" tint="-0.249977111117893"/>
        <rFont val="Calibri"/>
        <family val="2"/>
        <scheme val="minor"/>
      </rPr>
      <t>BLUE</t>
    </r>
    <r>
      <rPr>
        <b/>
        <sz val="12"/>
        <color theme="1"/>
        <rFont val="Calibri"/>
        <family val="2"/>
        <scheme val="minor"/>
      </rPr>
      <t xml:space="preserve"> can cause the formulas in the spreadsheet to stop working.</t>
    </r>
  </si>
  <si>
    <t>Michigan State University Extension</t>
  </si>
  <si>
    <t>Template by: Jon LaPorte, Farm Management Educator</t>
  </si>
  <si>
    <r>
      <t xml:space="preserve">Herbicides </t>
    </r>
    <r>
      <rPr>
        <b/>
        <i/>
        <sz val="10"/>
        <color theme="4" tint="-0.249977111117893"/>
        <rFont val="Calibri"/>
        <family val="2"/>
        <scheme val="minor"/>
      </rPr>
      <t>(drop down menu)</t>
    </r>
  </si>
  <si>
    <r>
      <t xml:space="preserve">Adjuvants </t>
    </r>
    <r>
      <rPr>
        <b/>
        <i/>
        <sz val="10"/>
        <color theme="4" tint="-0.249977111117893"/>
        <rFont val="Calibri"/>
        <family val="2"/>
        <scheme val="minor"/>
      </rPr>
      <t>(drop down menu)</t>
    </r>
  </si>
  <si>
    <r>
      <t xml:space="preserve">Fungicides </t>
    </r>
    <r>
      <rPr>
        <b/>
        <i/>
        <sz val="10"/>
        <color theme="4" tint="-0.249977111117893"/>
        <rFont val="Calibri"/>
        <family val="2"/>
        <scheme val="minor"/>
      </rPr>
      <t>(drop down menu)</t>
    </r>
  </si>
  <si>
    <r>
      <t xml:space="preserve">Insecticides </t>
    </r>
    <r>
      <rPr>
        <b/>
        <i/>
        <sz val="10"/>
        <color theme="4" tint="-0.249977111117893"/>
        <rFont val="Calibri"/>
        <family val="2"/>
        <scheme val="minor"/>
      </rPr>
      <t>(drop down menu)</t>
    </r>
  </si>
  <si>
    <t>Nutrients Provided by Fertilizer Plan</t>
  </si>
  <si>
    <t>Crop Miscellaneous</t>
  </si>
  <si>
    <t>Repair, Machinery</t>
  </si>
  <si>
    <t>Repair, Buildings</t>
  </si>
  <si>
    <t>Farm Insurance</t>
  </si>
  <si>
    <t>Crop Chemicals</t>
  </si>
  <si>
    <t>Cash Price</t>
  </si>
  <si>
    <t>Seeds/lb</t>
  </si>
  <si>
    <t>Herbicides</t>
  </si>
  <si>
    <t>For example: $15,000 fuel pre-paid for 2018 + $5,000 fuel purchased in 2018 - $10,000 fuel pre-paid for 2019 = $10,000 accrued expense</t>
  </si>
  <si>
    <t>¯</t>
  </si>
  <si>
    <t>More</t>
  </si>
  <si>
    <t>Below</t>
  </si>
  <si>
    <t>Zinc Liquid (12-0-0-12zn)</t>
  </si>
  <si>
    <t>Boron Liquid (0-0-0-10B)</t>
  </si>
  <si>
    <t>Aproach SC</t>
  </si>
  <si>
    <t>Headline SC</t>
  </si>
  <si>
    <t>Evito SC</t>
  </si>
  <si>
    <t>Caramba 0.75 SL</t>
  </si>
  <si>
    <t>Folicur 3.6 F</t>
  </si>
  <si>
    <t>Proline 480 SC</t>
  </si>
  <si>
    <t>Prosaro 421 SC</t>
  </si>
  <si>
    <t>Tilt 3.6 EC</t>
  </si>
  <si>
    <t>Absolute Maxx SC</t>
  </si>
  <si>
    <t>Aproach Prima SC</t>
  </si>
  <si>
    <t>Delaro 325 SC</t>
  </si>
  <si>
    <t>Nexicor EC</t>
  </si>
  <si>
    <t>Preemptor SC</t>
  </si>
  <si>
    <t>Quilt Xcel 2.2 SE</t>
  </si>
  <si>
    <t>Trivapro SE</t>
  </si>
  <si>
    <t>Wheat Fungicides</t>
  </si>
  <si>
    <t>Soybean Fungicides</t>
  </si>
  <si>
    <t>Corn Fungicides</t>
  </si>
  <si>
    <t>Quadris 2.08 SC</t>
  </si>
  <si>
    <t>Headline 2.09 EC/SC</t>
  </si>
  <si>
    <t>Aproach 2.08 SC</t>
  </si>
  <si>
    <t>Domark 230 ME</t>
  </si>
  <si>
    <t>Trivapro A 0.83 + Trivapro B 2.2 SE</t>
  </si>
  <si>
    <t>Aproach Prima 2.34 SC</t>
  </si>
  <si>
    <t>Fortix/Preemptor 3.22 SC</t>
  </si>
  <si>
    <t>Priaxor 4.17 SC</t>
  </si>
  <si>
    <t>Headline AMP 1.68 SC</t>
  </si>
  <si>
    <t>Stratego  YLD 4.18 SC</t>
  </si>
  <si>
    <t>Affiance 1.5 SC</t>
  </si>
  <si>
    <t>Total depreciation</t>
  </si>
  <si>
    <t>Machinery and equipment</t>
  </si>
  <si>
    <t>Titled vehicles</t>
  </si>
  <si>
    <t>Buildings and improvement</t>
  </si>
  <si>
    <t>Purchases</t>
  </si>
  <si>
    <t>Sales</t>
  </si>
  <si>
    <t>Total Depreciation</t>
  </si>
  <si>
    <t>Income Taxes</t>
  </si>
  <si>
    <t>Principal Payment</t>
  </si>
  <si>
    <t>Total Acres</t>
  </si>
  <si>
    <t>Gross Revenue</t>
  </si>
  <si>
    <t>Total Gross Revenue</t>
  </si>
  <si>
    <r>
      <t xml:space="preserve">NOTE: </t>
    </r>
    <r>
      <rPr>
        <sz val="12"/>
        <color theme="1"/>
        <rFont val="Calibri"/>
        <family val="2"/>
        <scheme val="minor"/>
      </rPr>
      <t>Includes an in-depth assessment of nutrients provided at each application of the farm's fertilizer program.</t>
    </r>
  </si>
  <si>
    <r>
      <t xml:space="preserve">NOTE: </t>
    </r>
    <r>
      <rPr>
        <sz val="12"/>
        <color theme="1"/>
        <rFont val="Calibri"/>
        <family val="2"/>
        <scheme val="minor"/>
      </rPr>
      <t>Includes an in-depth comparison of crop nutrient removal vs. nutrients provided by the farm's fertilizer program.</t>
    </r>
  </si>
  <si>
    <r>
      <t xml:space="preserve">NOTE: </t>
    </r>
    <r>
      <rPr>
        <sz val="12"/>
        <color theme="1"/>
        <rFont val="Calibri"/>
        <family val="2"/>
        <scheme val="minor"/>
      </rPr>
      <t>Includes a quick guide to Sites-of-Action used by the farm's chemical program for evaluating weed resistance management.</t>
    </r>
  </si>
  <si>
    <t>Input the prices for fertilizer, lime, and nitrogen stabilizers for the Fertilizer Plan</t>
  </si>
  <si>
    <t>Crop Estimating Tool (Detailed Budget)</t>
  </si>
  <si>
    <t>Link to MSU Weed Control Guide</t>
  </si>
  <si>
    <t>CORN</t>
  </si>
  <si>
    <t>SOYBEAN</t>
  </si>
  <si>
    <t>WHEAT</t>
  </si>
  <si>
    <t>See "Loans &amp; Financing (Detailed)" tab for Interest Expense</t>
  </si>
  <si>
    <t>Lannate LV(oz)</t>
  </si>
  <si>
    <t>Lannate LV (lb)</t>
  </si>
  <si>
    <t>Ambush 25W</t>
  </si>
  <si>
    <t>Arctic 3.2 EC</t>
  </si>
  <si>
    <t>Asana XL</t>
  </si>
  <si>
    <t>Baythroid 2</t>
  </si>
  <si>
    <t>Baythroid XL</t>
  </si>
  <si>
    <t>Bifenture EC</t>
  </si>
  <si>
    <t>Brigade 2EC</t>
  </si>
  <si>
    <t>Capture 2EC</t>
  </si>
  <si>
    <t>Carbaryl 4L</t>
  </si>
  <si>
    <t>Chlorpyrifos 4E</t>
  </si>
  <si>
    <t>Cobalt</t>
  </si>
  <si>
    <t>Dimethoate 267</t>
  </si>
  <si>
    <t>Dimethoate 4EC and DiGon 400</t>
  </si>
  <si>
    <t>Entrust</t>
  </si>
  <si>
    <t>Intrepid 2F</t>
  </si>
  <si>
    <t>Lambda-Cy EC</t>
  </si>
  <si>
    <t>Larvin 3.2</t>
  </si>
  <si>
    <t>Leverage 2.7</t>
  </si>
  <si>
    <t>Leverage 360</t>
  </si>
  <si>
    <t>Nufos 4E</t>
  </si>
  <si>
    <t>Orthene 75S</t>
  </si>
  <si>
    <t>Orthene 90S</t>
  </si>
  <si>
    <t>Orthene 97</t>
  </si>
  <si>
    <t>Penncap-M</t>
  </si>
  <si>
    <t>Permethrin/ Perm-Up 3.2EC</t>
  </si>
  <si>
    <t>Pounce 3.2 EC</t>
  </si>
  <si>
    <t>Proaxis</t>
  </si>
  <si>
    <t>Radiant SC</t>
  </si>
  <si>
    <t>Sevin 4 F and XLR Plus</t>
  </si>
  <si>
    <t>Lorsban 4E &amp; Advanced</t>
  </si>
  <si>
    <t>Sevin 80S and 80WSP</t>
  </si>
  <si>
    <t>Silencer</t>
  </si>
  <si>
    <t>Tracer</t>
  </si>
  <si>
    <t>Warrior</t>
  </si>
  <si>
    <t>Dimilin 25W &amp; 2L</t>
  </si>
  <si>
    <t>Pounce 25WP &amp; 3.2 EC</t>
  </si>
  <si>
    <t>Soybean Insecticides</t>
  </si>
  <si>
    <t>http://msuent.com/assets/pdf/1582SoybeanInsects10.pdf</t>
  </si>
  <si>
    <t>Dimethoate 4EC / 400 (5lb)</t>
  </si>
  <si>
    <t>Dimethoate 4EC / 400 (gal)</t>
  </si>
  <si>
    <t>Malathion ULV</t>
  </si>
  <si>
    <t>Malathion 5EC, 8F and 8 Aquamul</t>
  </si>
  <si>
    <t>Aztec 2.1G</t>
  </si>
  <si>
    <t>Aztec 4.67G</t>
  </si>
  <si>
    <t>Baythroid 2 &amp; XL</t>
  </si>
  <si>
    <t>Capture 1.15 G</t>
  </si>
  <si>
    <t xml:space="preserve">Capture LFR </t>
  </si>
  <si>
    <t>Comite</t>
  </si>
  <si>
    <t>Counter 15G</t>
  </si>
  <si>
    <t>Counter CR</t>
  </si>
  <si>
    <t>Deadline MPs 4% bait</t>
  </si>
  <si>
    <t>Dimethoate 5lb</t>
  </si>
  <si>
    <t>Empower 2</t>
  </si>
  <si>
    <t xml:space="preserve">Entrust </t>
  </si>
  <si>
    <t>Force 3G</t>
  </si>
  <si>
    <t>Fortress 5G</t>
  </si>
  <si>
    <t>Lannate LV</t>
  </si>
  <si>
    <t xml:space="preserve">Lorsban 15G </t>
  </si>
  <si>
    <t>Perm-UP 3.2 EC</t>
  </si>
  <si>
    <t>Pounce 25 WP</t>
  </si>
  <si>
    <t xml:space="preserve">Radiant SC </t>
  </si>
  <si>
    <t>Regent 4SC</t>
  </si>
  <si>
    <t xml:space="preserve">Sevin 4F and XLR Plus </t>
  </si>
  <si>
    <t>http://msuent.com/assets/pdf/1582CornInsects10.pdf</t>
  </si>
  <si>
    <t>Mustang Maxx EC &amp; EW</t>
  </si>
  <si>
    <t>Mustang Maxx EC and EW</t>
  </si>
  <si>
    <t xml:space="preserve">Choose the Herbicide/Adjuvant being used in the drop-down menu.  </t>
  </si>
  <si>
    <t>Insecticides &amp; Fungicides are also included further down this page.</t>
  </si>
  <si>
    <t>Rate/Acre and price paid per package (i.e. $$/Gallon) need to be input manually.</t>
  </si>
  <si>
    <t>Fertilizer Pricing</t>
  </si>
  <si>
    <t>-</t>
  </si>
  <si>
    <t>For more information on Insecticides, See MSU Bulletin E-1582</t>
  </si>
  <si>
    <t>Link to MSU Bulletin E-1582 (Corn Section)</t>
  </si>
  <si>
    <t>Link to MSU Bulletin E-1582 (Soybean Section)</t>
  </si>
  <si>
    <t>For more information on Herbicides, see the MSU Weed Control Guide</t>
  </si>
  <si>
    <t>Additional Resources:</t>
  </si>
  <si>
    <r>
      <t xml:space="preserve">NOTE: </t>
    </r>
    <r>
      <rPr>
        <sz val="12"/>
        <color theme="1"/>
        <rFont val="Calibri"/>
        <family val="2"/>
        <scheme val="minor"/>
      </rPr>
      <t>Includes links to the MSU Weed Control Guide &amp; MSU Bulletin E-1581 (Insecticide Recommendations)</t>
    </r>
  </si>
  <si>
    <t xml:space="preserve">For more information on Fertilizer Recommendations, see: </t>
  </si>
  <si>
    <t>MSU Bulletin E-2904, Nutrient Recommendations for Field Crops in Michigan</t>
  </si>
  <si>
    <t>Repayment Capacity (Cash Flow) Break-even</t>
  </si>
  <si>
    <t>Break-even $$/Bushel</t>
  </si>
  <si>
    <t xml:space="preserve">Break-even Yield/Acre </t>
  </si>
  <si>
    <t>Depreciation Calculator</t>
  </si>
  <si>
    <t>Break-Even Calculations</t>
  </si>
  <si>
    <t>Fertility Program</t>
  </si>
  <si>
    <t>Beginning Year Value</t>
  </si>
  <si>
    <t>Depreciation Rate</t>
  </si>
  <si>
    <t>Phone: (269) 445-4356          Email: laportej@msu.edu</t>
  </si>
  <si>
    <t>Total</t>
  </si>
  <si>
    <t>Corn Cost</t>
  </si>
  <si>
    <t>Soybean Cost</t>
  </si>
  <si>
    <t>Wheat Cost</t>
  </si>
  <si>
    <t>Expenses</t>
  </si>
  <si>
    <t>To adjust for Nitrogen Credits, reference:</t>
  </si>
  <si>
    <t>Crop Budget</t>
  </si>
  <si>
    <t>Use the tabs listed below to evaluate a more accurate and detailed plan for the farm.</t>
  </si>
  <si>
    <t>Chemical Plan</t>
  </si>
  <si>
    <t>Fertilizer Plan</t>
  </si>
  <si>
    <t>Loans &amp; Financing</t>
  </si>
  <si>
    <t>Hired Labor</t>
  </si>
  <si>
    <t>Other</t>
  </si>
  <si>
    <t>Marketing</t>
  </si>
  <si>
    <r>
      <t xml:space="preserve">Interest </t>
    </r>
    <r>
      <rPr>
        <sz val="10"/>
        <color theme="1"/>
        <rFont val="Calibri"/>
        <family val="2"/>
        <scheme val="minor"/>
      </rPr>
      <t>(Operating)</t>
    </r>
  </si>
  <si>
    <r>
      <t>Interest</t>
    </r>
    <r>
      <rPr>
        <sz val="10"/>
        <color theme="1"/>
        <rFont val="Calibri"/>
        <family val="2"/>
        <scheme val="minor"/>
      </rPr>
      <t xml:space="preserve"> (Term)</t>
    </r>
  </si>
  <si>
    <t>After Soybeans</t>
  </si>
  <si>
    <t>After Corn</t>
  </si>
  <si>
    <t>After Wheat</t>
  </si>
  <si>
    <t>(drop down menu) -&gt;</t>
  </si>
  <si>
    <t>Drop Down Menu</t>
  </si>
  <si>
    <t>EXPENSE</t>
  </si>
  <si>
    <t>Real Estate Taxes</t>
  </si>
  <si>
    <t>Value of Unpaid Labor &amp; Management</t>
  </si>
  <si>
    <t>Labor &amp; Management</t>
  </si>
  <si>
    <t>Value of Farm Production (VFP)</t>
  </si>
  <si>
    <t>VFP + (Unpaid Labor Hours X Hourly Rate)</t>
  </si>
  <si>
    <t>Unpaid Labor</t>
  </si>
  <si>
    <t>Hourly Rate</t>
  </si>
  <si>
    <t>Value of Unpaid Labor &amp; Management Per Crop</t>
  </si>
  <si>
    <t>Value of Unpaid Equity Capital</t>
  </si>
  <si>
    <t>Economic Overhead</t>
  </si>
  <si>
    <t>Total Economic Overhead</t>
  </si>
  <si>
    <t>Total Economic Cost of Production</t>
  </si>
  <si>
    <t>Equity Capital</t>
  </si>
  <si>
    <t>Net Worth (From Balance Sheet)</t>
  </si>
  <si>
    <t>Opportunity Cost (Percentage Rate of Return)</t>
  </si>
  <si>
    <t>Economic (Profit) Break-even</t>
  </si>
  <si>
    <t>Value of Farm Production</t>
  </si>
  <si>
    <t>Unpaid Labor &amp; Management is the value of how much the Farm Manager/Operator is worth to the business (i.e. $40,000)</t>
  </si>
  <si>
    <t>This tab contains the Depreciation, Income Tax, Owner Withdrawal, Unpaid Equity Capital, and Unpaid Labor Management expenses</t>
  </si>
  <si>
    <t>Allocation based on Crop Triggering Payment</t>
  </si>
  <si>
    <t>Government Payments</t>
  </si>
  <si>
    <t>Total Payment =</t>
  </si>
  <si>
    <t>Additional Government Payments</t>
  </si>
  <si>
    <t>(i.e. CRP, CREP, EQIP, etc.)</t>
  </si>
  <si>
    <t>This tab contains an area to input revenues received from various Government Programs</t>
  </si>
  <si>
    <t>Gov't Payments</t>
  </si>
  <si>
    <t>Total Government Payments</t>
  </si>
  <si>
    <t>Planter</t>
  </si>
  <si>
    <t>Depreciation Value</t>
  </si>
  <si>
    <t>(Beginning Year Value + Purchases - Sales) x Depreciation Rate</t>
  </si>
  <si>
    <t>Corn (acre)</t>
  </si>
  <si>
    <t>Soybean (acre)</t>
  </si>
  <si>
    <t>Wheat (acre)</t>
  </si>
  <si>
    <t>Corn (total)</t>
  </si>
  <si>
    <t>Soybean (total)</t>
  </si>
  <si>
    <t>Wheat (total)</t>
  </si>
  <si>
    <t>After Sugar Beets</t>
  </si>
  <si>
    <t>After Dry Beans</t>
  </si>
  <si>
    <t>After Alfalfa</t>
  </si>
  <si>
    <t>Crop Budget Estimator</t>
  </si>
  <si>
    <t>Economic Profitability</t>
  </si>
  <si>
    <t>Cash Flow</t>
  </si>
  <si>
    <r>
      <t>Economic Profit</t>
    </r>
    <r>
      <rPr>
        <i/>
        <sz val="12"/>
        <color rgb="FF18453B"/>
        <rFont val="Calibri"/>
        <family val="2"/>
        <scheme val="minor"/>
      </rPr>
      <t xml:space="preserve"> </t>
    </r>
    <r>
      <rPr>
        <i/>
        <sz val="10"/>
        <color rgb="FF18453B"/>
        <rFont val="Calibri"/>
        <family val="2"/>
        <scheme val="minor"/>
      </rPr>
      <t>(Net Cash Flow - Unpaid Labor &amp; Equity)</t>
    </r>
  </si>
  <si>
    <t>DEPRECIATION EXPENSE RATIO</t>
  </si>
  <si>
    <t>INTEREST EXPENSE RATIO</t>
  </si>
  <si>
    <t>NET FARM INCOME RATIO</t>
  </si>
  <si>
    <t>0 - 5%</t>
  </si>
  <si>
    <t>5 - 10%</t>
  </si>
  <si>
    <t>10% - over</t>
  </si>
  <si>
    <t>0 - 10%</t>
  </si>
  <si>
    <t>10 - 20%</t>
  </si>
  <si>
    <t>20% - over</t>
  </si>
  <si>
    <t>Net Cash Flow</t>
  </si>
  <si>
    <t>Impacts of Opportunity Costs (Labor &amp; Mgmt/Equity Capital)</t>
  </si>
  <si>
    <t>Total Economic Profit</t>
  </si>
  <si>
    <t>/Bushel</t>
  </si>
  <si>
    <t>*Note: these four ratios add up to 100%</t>
  </si>
  <si>
    <t>ImpactZ</t>
  </si>
  <si>
    <t>Tripzin ZC</t>
  </si>
  <si>
    <t>3/5</t>
  </si>
  <si>
    <t>Authority Elite/Broadaxe XC</t>
  </si>
  <si>
    <t>Authority Supreme</t>
  </si>
  <si>
    <t>Moccasin MITZ</t>
  </si>
  <si>
    <t>https://www.extension.purdue.edu/extmedia/BP/BP-160-W.pdf</t>
  </si>
  <si>
    <t>https://www.canr.msu.edu/fcp/content/Corn-Fungicide-efficacy-table_2017_final.pdf</t>
  </si>
  <si>
    <t>https://www.canr.msu.edu/uploads/files/AABI/Soybean_Fungicide_efficacy_table_2018_final_MC.pdf</t>
  </si>
  <si>
    <t>ARC/PLC Payments</t>
  </si>
  <si>
    <t>Straight Allocation of ARC/PLC</t>
  </si>
  <si>
    <t>Sugar Beet Lime</t>
  </si>
  <si>
    <t>Crop Insurance Indemnity Payments</t>
  </si>
  <si>
    <t>Total Insurance Payments</t>
  </si>
  <si>
    <t>&lt;=</t>
  </si>
  <si>
    <t>Minimum corn acres</t>
  </si>
  <si>
    <t>&gt;=</t>
  </si>
  <si>
    <t>Minimum soybean acres</t>
  </si>
  <si>
    <t>Minimum wheat acres</t>
  </si>
  <si>
    <t>Revenue Per Acre</t>
  </si>
  <si>
    <t>Budget Acres</t>
  </si>
  <si>
    <t>Optimization</t>
  </si>
  <si>
    <t>Total Direct &amp; Overhead Cost</t>
  </si>
  <si>
    <t>Optimizing Profitability</t>
  </si>
  <si>
    <t>Optimization Instructions</t>
  </si>
  <si>
    <t>Minimum Costs to Cover</t>
  </si>
  <si>
    <t xml:space="preserve">3. Enter the minimum goal of acres for each crop in column E.  </t>
  </si>
  <si>
    <t>4. Enter the total acres to be planted across all crops in column E.</t>
  </si>
  <si>
    <t>Variable</t>
  </si>
  <si>
    <t>Fixed</t>
  </si>
  <si>
    <t>Variable &amp; Fixed</t>
  </si>
  <si>
    <t>Other (variable)</t>
  </si>
  <si>
    <t>Other (fixed)</t>
  </si>
  <si>
    <t>Cost Comparison Charts</t>
  </si>
  <si>
    <r>
      <t>Depreciation</t>
    </r>
    <r>
      <rPr>
        <sz val="10"/>
        <color theme="1"/>
        <rFont val="Calibri"/>
        <family val="2"/>
        <scheme val="minor"/>
      </rPr>
      <t xml:space="preserve"> (Economic )</t>
    </r>
  </si>
  <si>
    <r>
      <t xml:space="preserve">Interest </t>
    </r>
    <r>
      <rPr>
        <sz val="10"/>
        <color theme="1"/>
        <rFont val="Calibri"/>
        <family val="2"/>
        <scheme val="minor"/>
      </rPr>
      <t>(Oper &amp; Term)</t>
    </r>
  </si>
  <si>
    <r>
      <t xml:space="preserve">Other </t>
    </r>
    <r>
      <rPr>
        <sz val="10"/>
        <color theme="1"/>
        <rFont val="Calibri"/>
        <family val="2"/>
        <scheme val="minor"/>
      </rPr>
      <t>(variable &amp; fixed)</t>
    </r>
  </si>
  <si>
    <t>This tab contains an optimization tool that will outline what combination of acres (i.e. corn, soybeans, wheat) will provide the maximum profitability based on the budget information provided on the other tabs.</t>
  </si>
  <si>
    <t>MESZ (12-40-0-10S-1Z)</t>
  </si>
  <si>
    <t>120 N. Broadway, Suite 116, Cassopolis, MI 49031</t>
  </si>
  <si>
    <r>
      <t>Capital Retainment</t>
    </r>
    <r>
      <rPr>
        <b/>
        <sz val="12"/>
        <color theme="1"/>
        <rFont val="Calibri"/>
        <family val="2"/>
        <scheme val="minor"/>
      </rPr>
      <t xml:space="preserve"> </t>
    </r>
    <r>
      <rPr>
        <b/>
        <sz val="14"/>
        <color theme="1"/>
        <rFont val="Calibri"/>
        <family val="2"/>
        <scheme val="minor"/>
      </rPr>
      <t>Break-even</t>
    </r>
    <r>
      <rPr>
        <b/>
        <sz val="11"/>
        <color theme="1"/>
        <rFont val="Calibri"/>
        <family val="2"/>
        <scheme val="minor"/>
      </rPr>
      <t xml:space="preserve"> (Net Worth) </t>
    </r>
  </si>
  <si>
    <r>
      <t>Repayment Capacity Break-even</t>
    </r>
    <r>
      <rPr>
        <b/>
        <sz val="11"/>
        <color theme="1"/>
        <rFont val="Calibri"/>
        <family val="2"/>
        <scheme val="minor"/>
      </rPr>
      <t xml:space="preserve"> (Cash Flow)</t>
    </r>
  </si>
  <si>
    <t>Triple Superphosphate (0-46-0)</t>
  </si>
  <si>
    <t>Potassium Sulphate (0-0-52-18S)</t>
  </si>
  <si>
    <t>9-18-9 (liquid)</t>
  </si>
  <si>
    <t>19-19-19 (dry)</t>
  </si>
  <si>
    <t>15-15-2 (liquid)</t>
  </si>
  <si>
    <t>15-15-15 (dry)</t>
  </si>
  <si>
    <t>12-24-24 (dry)</t>
  </si>
  <si>
    <t>5-10-5 (dry)</t>
  </si>
  <si>
    <t>10-10-10 (dry)</t>
  </si>
  <si>
    <t>6-12-12 (dry)</t>
  </si>
  <si>
    <r>
      <rPr>
        <sz val="12"/>
        <color theme="1"/>
        <rFont val="Symbol"/>
        <family val="1"/>
        <charset val="2"/>
      </rPr>
      <t>¬</t>
    </r>
    <r>
      <rPr>
        <sz val="12"/>
        <color theme="1"/>
        <rFont val="Calibri"/>
        <family val="2"/>
      </rPr>
      <t xml:space="preserve"> </t>
    </r>
    <r>
      <rPr>
        <sz val="12"/>
        <color theme="1"/>
        <rFont val="Calibri"/>
        <family val="2"/>
        <scheme val="minor"/>
      </rPr>
      <t>Total Cost (goal)</t>
    </r>
  </si>
  <si>
    <r>
      <rPr>
        <sz val="12"/>
        <color theme="1"/>
        <rFont val="Symbol"/>
        <family val="1"/>
        <charset val="2"/>
      </rPr>
      <t>¬</t>
    </r>
    <r>
      <rPr>
        <sz val="12"/>
        <color theme="1"/>
        <rFont val="Calibri"/>
        <family val="2"/>
      </rPr>
      <t xml:space="preserve"> </t>
    </r>
    <r>
      <rPr>
        <sz val="12"/>
        <color theme="1"/>
        <rFont val="Calibri"/>
        <family val="2"/>
        <scheme val="minor"/>
      </rPr>
      <t>Minimum corn acres (goal)</t>
    </r>
  </si>
  <si>
    <r>
      <rPr>
        <sz val="12"/>
        <color theme="1"/>
        <rFont val="Symbol"/>
        <family val="1"/>
        <charset val="2"/>
      </rPr>
      <t>¬</t>
    </r>
    <r>
      <rPr>
        <sz val="12"/>
        <color theme="1"/>
        <rFont val="Calibri"/>
        <family val="2"/>
      </rPr>
      <t xml:space="preserve"> </t>
    </r>
    <r>
      <rPr>
        <sz val="12"/>
        <color theme="1"/>
        <rFont val="Calibri"/>
        <family val="2"/>
        <scheme val="minor"/>
      </rPr>
      <t>Minimum soybean acres</t>
    </r>
    <r>
      <rPr>
        <sz val="12"/>
        <color theme="1"/>
        <rFont val="Calibri"/>
        <family val="1"/>
        <charset val="2"/>
        <scheme val="minor"/>
      </rPr>
      <t xml:space="preserve"> (goal)</t>
    </r>
  </si>
  <si>
    <r>
      <rPr>
        <sz val="12"/>
        <color theme="1"/>
        <rFont val="Symbol"/>
        <family val="1"/>
        <charset val="2"/>
      </rPr>
      <t>¬</t>
    </r>
    <r>
      <rPr>
        <sz val="12"/>
        <color theme="1"/>
        <rFont val="Calibri"/>
        <family val="2"/>
      </rPr>
      <t xml:space="preserve"> </t>
    </r>
    <r>
      <rPr>
        <sz val="12"/>
        <color theme="1"/>
        <rFont val="Calibri"/>
        <family val="2"/>
        <scheme val="minor"/>
      </rPr>
      <t>Minimum wheat acres</t>
    </r>
    <r>
      <rPr>
        <sz val="12"/>
        <color theme="1"/>
        <rFont val="Calibri"/>
        <family val="1"/>
        <charset val="2"/>
        <scheme val="minor"/>
      </rPr>
      <t xml:space="preserve"> (goal)</t>
    </r>
  </si>
  <si>
    <r>
      <rPr>
        <sz val="12"/>
        <color theme="1"/>
        <rFont val="Symbol"/>
        <family val="1"/>
        <charset val="2"/>
      </rPr>
      <t>¬</t>
    </r>
    <r>
      <rPr>
        <sz val="12"/>
        <color theme="1"/>
        <rFont val="Calibri"/>
        <family val="2"/>
      </rPr>
      <t xml:space="preserve"> </t>
    </r>
    <r>
      <rPr>
        <sz val="12"/>
        <color theme="1"/>
        <rFont val="Calibri"/>
        <family val="2"/>
        <scheme val="minor"/>
      </rPr>
      <t>Maximum acres</t>
    </r>
    <r>
      <rPr>
        <sz val="12"/>
        <color theme="1"/>
        <rFont val="Calibri"/>
        <family val="1"/>
        <charset val="2"/>
        <scheme val="minor"/>
      </rPr>
      <t xml:space="preserve"> allowed</t>
    </r>
  </si>
  <si>
    <r>
      <rPr>
        <sz val="12"/>
        <color theme="1"/>
        <rFont val="Symbol"/>
        <family val="1"/>
        <charset val="2"/>
      </rPr>
      <t>¬</t>
    </r>
    <r>
      <rPr>
        <sz val="12"/>
        <color theme="1"/>
        <rFont val="Calibri"/>
        <family val="2"/>
      </rPr>
      <t xml:space="preserve"> Use </t>
    </r>
    <r>
      <rPr>
        <sz val="12"/>
        <color theme="1"/>
        <rFont val="Calibri"/>
        <family val="2"/>
        <scheme val="minor"/>
      </rPr>
      <t>Solver Function</t>
    </r>
  </si>
  <si>
    <t>Nutrient Management</t>
  </si>
  <si>
    <t>Soil Test Level:</t>
  </si>
  <si>
    <t>Input the amount of nutrients currently present in the field (i.e. soil test results)</t>
  </si>
  <si>
    <t>Manure  Application:</t>
  </si>
  <si>
    <t>Nutrient Removal:</t>
  </si>
  <si>
    <t>Total Nutrient Needs:</t>
  </si>
  <si>
    <t xml:space="preserve">Based on a combination of soil test, manure application, and nutrient removal.  </t>
  </si>
  <si>
    <t>Use this information to help determine the amount of commercial fertilizer needed in the Fertilizer Plan tab.</t>
  </si>
  <si>
    <t>Total Nutrient Needs</t>
  </si>
  <si>
    <t>(Based on Nutrient Management tab)</t>
  </si>
  <si>
    <t>The amount of nutrients being removed based on yield goal from the Crop Budget (Main) tab.</t>
  </si>
  <si>
    <t>This provides detailed information for use with the Fertilizer Plan tab to determine how much commercial fertilizer will need to be applied.</t>
  </si>
  <si>
    <t>Capital &amp; Opportunity</t>
  </si>
  <si>
    <t>How much of every $1.00 generated goes to operating costs?</t>
  </si>
  <si>
    <t>How much of every $1.00 generated goes to depreciation costs?</t>
  </si>
  <si>
    <t>How much of every $1.00 generated goes to interest costs?</t>
  </si>
  <si>
    <t>How much of every $1.00 generated is farm income?</t>
  </si>
  <si>
    <r>
      <t>Net Returns Break-even</t>
    </r>
    <r>
      <rPr>
        <b/>
        <sz val="11"/>
        <color theme="1"/>
        <rFont val="Calibri"/>
        <family val="2"/>
        <scheme val="minor"/>
      </rPr>
      <t xml:space="preserve"> (Over Variable &amp; Fixed) </t>
    </r>
  </si>
  <si>
    <t>Variable Costs</t>
  </si>
  <si>
    <r>
      <rPr>
        <b/>
        <i/>
        <sz val="14"/>
        <color rgb="FF18453B"/>
        <rFont val="Calibri"/>
        <family val="2"/>
        <scheme val="minor"/>
      </rPr>
      <t>Return Over Variable Costs</t>
    </r>
    <r>
      <rPr>
        <b/>
        <i/>
        <sz val="12"/>
        <color rgb="FF18453B"/>
        <rFont val="Calibri"/>
        <family val="2"/>
        <scheme val="minor"/>
      </rPr>
      <t xml:space="preserve"> </t>
    </r>
    <r>
      <rPr>
        <b/>
        <i/>
        <sz val="10"/>
        <color rgb="FF18453B"/>
        <rFont val="Calibri"/>
        <family val="2"/>
        <scheme val="minor"/>
      </rPr>
      <t>(Gross Revenue - Variable Costs)</t>
    </r>
  </si>
  <si>
    <t>Total Fixed Costs</t>
  </si>
  <si>
    <t>Total Variable &amp; Fixed Costs</t>
  </si>
  <si>
    <t>Total Variable Costs</t>
  </si>
  <si>
    <t>Fixed Costs</t>
  </si>
  <si>
    <t>Seed Cost</t>
  </si>
  <si>
    <r>
      <rPr>
        <b/>
        <i/>
        <sz val="14"/>
        <color rgb="FF18453B"/>
        <rFont val="Calibri"/>
        <family val="2"/>
        <scheme val="minor"/>
      </rPr>
      <t>Net Farm Income</t>
    </r>
    <r>
      <rPr>
        <b/>
        <i/>
        <sz val="10"/>
        <color rgb="FF18453B"/>
        <rFont val="Calibri"/>
        <family val="2"/>
        <scheme val="minor"/>
      </rPr>
      <t xml:space="preserve"> (Gross Revenue - Variable &amp; Fixed Costs)</t>
    </r>
  </si>
  <si>
    <r>
      <t xml:space="preserve">Depreciation </t>
    </r>
    <r>
      <rPr>
        <sz val="12"/>
        <color theme="1"/>
        <rFont val="Calibri"/>
        <family val="2"/>
        <scheme val="minor"/>
      </rPr>
      <t>(Economic not Taxable)</t>
    </r>
  </si>
  <si>
    <r>
      <t xml:space="preserve">Interest </t>
    </r>
    <r>
      <rPr>
        <sz val="12"/>
        <color theme="1"/>
        <rFont val="Calibri"/>
        <family val="2"/>
        <scheme val="minor"/>
      </rPr>
      <t>(Operating)</t>
    </r>
  </si>
  <si>
    <r>
      <t xml:space="preserve">Owner Withdrawal </t>
    </r>
    <r>
      <rPr>
        <sz val="12"/>
        <color theme="1"/>
        <rFont val="Calibri"/>
        <family val="2"/>
        <scheme val="minor"/>
      </rPr>
      <t>(Family Living)</t>
    </r>
  </si>
  <si>
    <r>
      <t xml:space="preserve">Interest </t>
    </r>
    <r>
      <rPr>
        <sz val="12"/>
        <color theme="1"/>
        <rFont val="Calibri"/>
        <family val="2"/>
        <scheme val="minor"/>
      </rPr>
      <t>(Term)</t>
    </r>
  </si>
  <si>
    <t>Variablecosts, such as Fuel, Labor, Repair &amp; Maintenance, etc., are input here.</t>
  </si>
  <si>
    <r>
      <rPr>
        <b/>
        <sz val="12"/>
        <color theme="1"/>
        <rFont val="Calibri"/>
        <family val="2"/>
        <scheme val="minor"/>
      </rPr>
      <t xml:space="preserve">NOTE: </t>
    </r>
    <r>
      <rPr>
        <sz val="12"/>
        <color theme="1"/>
        <rFont val="Calibri"/>
        <family val="2"/>
        <scheme val="minor"/>
      </rPr>
      <t>Seed cost is found at the top of this tab.</t>
    </r>
  </si>
  <si>
    <t>Use total costs allocated to each specific crop (i.e. $10,000 to corn, $7,000 to soybeans, etc.) to determine a per/acre cost.</t>
  </si>
  <si>
    <t xml:space="preserve">For best results, accrued adjusted costs should be used.  </t>
  </si>
  <si>
    <t>Accrued costs = adding pre-paid costs in the previous year and subtracting pre-paid costs for next year.</t>
  </si>
  <si>
    <t>Manure Value</t>
  </si>
  <si>
    <t>Input the nutrients being provided in manure applications (i.e. nutrient analysis results)             Input fertilizer value -&gt;&gt;&gt;&gt;</t>
  </si>
  <si>
    <t>Manure Fertilizer Values</t>
  </si>
  <si>
    <t>*Note: For this crop, Nitrogen applied in Pre-Plant/Broadcast applications are not considered to be accessible to meeting the plant's nutritional needs</t>
  </si>
  <si>
    <r>
      <t>Micronutrients</t>
    </r>
    <r>
      <rPr>
        <b/>
        <i/>
        <sz val="14"/>
        <color theme="9" tint="-0.249977111117893"/>
        <rFont val="Calibri"/>
        <family val="2"/>
        <scheme val="minor"/>
      </rPr>
      <t xml:space="preserve"> </t>
    </r>
    <r>
      <rPr>
        <b/>
        <i/>
        <sz val="14"/>
        <color theme="4" tint="-0.249977111117893"/>
        <rFont val="Calibri"/>
        <family val="2"/>
        <scheme val="minor"/>
      </rPr>
      <t>(drop down menu)</t>
    </r>
  </si>
  <si>
    <r>
      <t>Macronutrients</t>
    </r>
    <r>
      <rPr>
        <b/>
        <i/>
        <sz val="14"/>
        <color theme="4" tint="-0.249977111117893"/>
        <rFont val="Calibri"/>
        <family val="2"/>
        <scheme val="minor"/>
      </rPr>
      <t xml:space="preserve"> </t>
    </r>
    <r>
      <rPr>
        <b/>
        <i/>
        <sz val="12"/>
        <color theme="4" tint="-0.249977111117893"/>
        <rFont val="Calibri"/>
        <family val="2"/>
        <scheme val="minor"/>
      </rPr>
      <t>(drop down menu)</t>
    </r>
  </si>
  <si>
    <r>
      <t>Micronutrients</t>
    </r>
    <r>
      <rPr>
        <b/>
        <i/>
        <sz val="14"/>
        <color theme="9" tint="-0.249977111117893"/>
        <rFont val="Calibri"/>
        <family val="2"/>
        <scheme val="minor"/>
      </rPr>
      <t xml:space="preserve"> </t>
    </r>
    <r>
      <rPr>
        <b/>
        <i/>
        <sz val="12"/>
        <color theme="4" tint="-0.249977111117893"/>
        <rFont val="Calibri"/>
        <family val="2"/>
        <scheme val="minor"/>
      </rPr>
      <t>(drop down menu)</t>
    </r>
  </si>
  <si>
    <r>
      <t>Lime</t>
    </r>
    <r>
      <rPr>
        <b/>
        <i/>
        <sz val="14"/>
        <color theme="9" tint="-0.249977111117893"/>
        <rFont val="Calibri"/>
        <family val="2"/>
        <scheme val="minor"/>
      </rPr>
      <t xml:space="preserve"> </t>
    </r>
    <r>
      <rPr>
        <b/>
        <i/>
        <sz val="12"/>
        <color theme="4" tint="-0.249977111117893"/>
        <rFont val="Calibri"/>
        <family val="2"/>
        <scheme val="minor"/>
      </rPr>
      <t>(drop down menu)</t>
    </r>
  </si>
  <si>
    <r>
      <t>Nitrogen Stabilizers</t>
    </r>
    <r>
      <rPr>
        <b/>
        <i/>
        <sz val="12"/>
        <color theme="9" tint="-0.249977111117893"/>
        <rFont val="Calibri"/>
        <family val="2"/>
        <scheme val="minor"/>
      </rPr>
      <t xml:space="preserve"> </t>
    </r>
    <r>
      <rPr>
        <b/>
        <i/>
        <sz val="12"/>
        <color theme="4" tint="-0.249977111117893"/>
        <rFont val="Calibri"/>
        <family val="2"/>
        <scheme val="minor"/>
      </rPr>
      <t>(drop down menu)</t>
    </r>
  </si>
  <si>
    <t>UAN 32% (32-0-0)</t>
  </si>
  <si>
    <t>Financing</t>
  </si>
  <si>
    <t>Total Financing</t>
  </si>
  <si>
    <t>Total Variable, Fixed, and Financing</t>
  </si>
  <si>
    <r>
      <rPr>
        <b/>
        <i/>
        <sz val="14"/>
        <color rgb="FF18453B"/>
        <rFont val="Calibri"/>
        <family val="2"/>
        <scheme val="minor"/>
      </rPr>
      <t>Net Cash Flow</t>
    </r>
    <r>
      <rPr>
        <b/>
        <i/>
        <sz val="10"/>
        <color rgb="FF18453B"/>
        <rFont val="Calibri"/>
        <family val="2"/>
        <scheme val="minor"/>
      </rPr>
      <t xml:space="preserve"> (Net Farm Income - Financing + Depreciation)</t>
    </r>
  </si>
  <si>
    <t>Tavium</t>
  </si>
  <si>
    <t>4/15</t>
  </si>
  <si>
    <t>Crusher</t>
  </si>
  <si>
    <t>Panoflex</t>
  </si>
  <si>
    <t>Liberty/Cheetah/Interline/Scout</t>
  </si>
  <si>
    <t>Tri-State Fertilizer Recommendations</t>
  </si>
  <si>
    <t>Tri-State Recommendations</t>
  </si>
  <si>
    <t>Based on soil test data, the following are tri-state recommendations for fertilizer needs to meet yield goals.</t>
  </si>
  <si>
    <t>CEC Level:</t>
  </si>
  <si>
    <t>IF(AND(E8&lt;=50,'Crop Budget (Main)'!C14&lt;=100,D14&lt;=9),125,IF(AND(E8&lt;=50,'Crop Budget (Main)'!C14&lt;=120,D14&lt;=9),130,IF(AND(E8&lt;=50,'Crop Budget (Main)'!C14&lt;=140,D14&lt;=9),135,IF(AND(E8&lt;=50,'Crop Budget (Main)'!C14&lt;=160,D14&lt;=9),140,IF(AND(E8&lt;=50,'Crop Budget (Main)'!C14&lt;=180,D14&lt;=9),145,IF(AND(E8&lt;=50,'Crop Budget (Main)'!C14&gt;180,D14&lt;=9),145</t>
  </si>
  <si>
    <t>IF(AND(E8&lt;=100,'Crop Budget (Main)'!C14&lt;=100,D14&lt;=9),95,IF(AND(E8&lt;=100,'Crop Budget (Main)'!C14&lt;=120,D14&lt;=9),100,IF(AND(E8&lt;=100,'Crop Budget (Main)'!C14&lt;=140,D14&lt;=9),105,IF(AND(E8&lt;=100,'Crop Budget (Main)'!C14&lt;=160,D14&lt;=9),110,IF(AND(E8&lt;=100,'Crop Budget (Main)'!C14&lt;=180,D14&lt;=9),115,IF(AND(E8&lt;=100,'Crop Budget (Main)'!C14&gt;180,D14&lt;=9),115</t>
  </si>
  <si>
    <t>IF(AND(E8&lt;=150,'Crop Budget (Main)'!C14&lt;=100,D14&lt;=9),65,IF(AND(E8&lt;=150,'Crop Budget (Main)'!C14&lt;=120,D14&lt;=9),70,IF(AND(E8&lt;=150,'Crop Budget (Main)'!C14&lt;=140,D14&lt;=9),75,IF(AND(E8&lt;=150,'Crop Budget (Main)'!C14&lt;=160,D14&lt;=9),80,IF(AND(E8&lt;=150,'Crop Budget (Main)'!C14&lt;=180,D14&lt;=9),85,IF(AND(E8&lt;=150,'Crop Budget (Main)'!C14&gt;180,D14&lt;=9),80</t>
  </si>
  <si>
    <t>IF(AND(E8&lt;=50,'Crop Budget (Main)'!C14&lt;=100,D14&lt;=19),160,IF(AND(E8&lt;=50,'Crop Budget (Main)'!C14&lt;=120,D14&lt;=19),165,IF(AND(E8&lt;=50,'Crop Budget (Main)'!C14&lt;=140,D14&lt;=19),170,IF(AND(E8&lt;=50,'Crop Budget (Main)'!C14&lt;=160,D14&lt;=19),175,IF(AND(E8&lt;=50,'Crop Budget (Main)'!C14&lt;=180,D14&lt;=19),180,IF(AND(E8&lt;=50,'Crop Budget (Main)'!C14&gt;180,D14&lt;=19),180</t>
  </si>
  <si>
    <t>IF(AND(E8&lt;=100,'Crop Budget (Main)'!C14&lt;=100,D14&lt;=19),120,IF(AND(E8&lt;=100,'Crop Budget (Main)'!C14&lt;=120,D14&lt;=19),125,IF(AND(E8&lt;=100,'Crop Budget (Main)'!C14&lt;=140,D14&lt;=19),135,IF(AND(E8&lt;=100,'Crop Budget (Main)'!C14&lt;=160,D14&lt;=19),140,IF(AND(E8&lt;=100,'Crop Budget (Main)'!C14&lt;=180,D14&lt;=19),145,IF(AND(E8&lt;=100,'Crop Budget (Main)'!C14&gt;180,D14&lt;=19),145</t>
  </si>
  <si>
    <t>IF(AND(E8&lt;=150,'Crop Budget (Main)'!C14&lt;=100,D14&lt;=19),85,IF(AND(E8&lt;=150,'Crop Budget (Main)'!C14&lt;=120,D14&lt;=19),90,IF(AND(E8&lt;=150,'Crop Budget (Main)'!C14&lt;=140,D14&lt;=19),95,IF(AND(E8&lt;=150,'Crop Budget (Main)'!C14&lt;=160,D14&lt;=19),100,IF(AND(E8&lt;=150,'Crop Budget (Main)'!C14&lt;=180,D14&lt;=19),105,IF(AND(E8&lt;=150,'Crop Budget (Main)'!C14&gt;180,D14&lt;=19),100</t>
  </si>
  <si>
    <t>IF(AND(E8&lt;=100,'Crop Budget (Main)'!C14&lt;=100,D14&lt;=29),195,IF(AND(E8&lt;=100,'Crop Budget (Main)'!C14&lt;=120,D14&lt;=29),200,IF(AND(E8&lt;=100,'Crop Budget (Main)'!C14&lt;=140,D14&lt;=29),210,IF(AND(E8&lt;=100,'Crop Budget (Main)'!C14&lt;=160,D14&lt;=29),215,IF(AND(E8&lt;=100,'Crop Budget (Main)'!C14&lt;=180,D14&lt;=29),220,IF(AND(E8&lt;=100,'Crop Budget (Main)'!C14&gt;180,D14&lt;=29),220</t>
  </si>
  <si>
    <t>IF(AND(E8&lt;=150,'Crop Budget (Main)'!C14&lt;=100,D14&lt;=29),145,IF(AND(E8&lt;=150,'Crop Budget (Main)'!C14&lt;=120,D14&lt;=29),150,IF(AND(E8&lt;=150,'Crop Budget (Main)'!C14&lt;=140,D14&lt;=29),160,IF(AND(E8&lt;=150,'Crop Budget (Main)'!C14&lt;=160,D14&lt;=29),165,IF(AND(E8&lt;=150,'Crop Budget (Main)'!C14&lt;=180,D14&lt;=29),170,IF(AND(E8&lt;=150,'Crop Budget (Main)'!C14&gt;180,D14&lt;=29),170</t>
  </si>
  <si>
    <t>IF(AND(E8&lt;=50,'Crop Budget (Main)'!C14&lt;=100,D14&lt;=9),125,IF(AND(E8&lt;=50,'Crop Budget (Main)'!C14&lt;=120,D14&lt;=9),130,IF(AND(E8&lt;=50,'Crop Budget (Main)'!C14&lt;=140,D14&lt;=9),135,IF(AND(E8&lt;=50,'Crop Budget (Main)'!C14&lt;=160,D14&lt;=9),140,IF(AND(E8&lt;=50,'Crop Budget (Main)'!C14&lt;=180,D14&lt;=9),145,IF(AND(E8&lt;=50,'Crop Budget (Main)'!C14&gt;180,D14&lt;=9),145,IF(AND(E8&lt;=100,'Crop Budget (Main)'!C14&lt;=100,D14&lt;=9),95,IF(AND(E8&lt;=100,'Crop Budget (Main)'!C14&lt;=120,D14&lt;=9),100,IF(AND(E8&lt;=100,'Crop Budget (Main)'!C14&lt;=140,D14&lt;=9),105,IF(AND(E8&lt;=100,'Crop Budget (Main)'!C14&lt;=160,D14&lt;=9),110,IF(AND(E8&lt;=100,'Crop Budget (Main)'!C14&lt;=180,D14&lt;=9),115,IF(AND(E8&lt;=100,'Crop Budget (Main)'!C14&gt;180,D14&lt;=9),115,IF(AND(E8&lt;=150,'Crop Budget (Main)'!C14&lt;=100,D14&lt;=9),65,IF(AND(E8&lt;=150,'Crop Budget (Main)'!C14&lt;=120,D14&lt;=9),70,IF(AND(E8&lt;=150,'Crop Budget (Main)'!C14&lt;=140,D14&lt;=9),75,IF(AND(E8&lt;=150,'Crop Budget (Main)'!C14&lt;=160,D14&lt;=9),80,IF(AND(E8&lt;=150,'Crop Budget (Main)'!C14&lt;=180,D14&lt;=9),85,IF(AND(E8&lt;=150,'Crop Budget (Main)'!C14&gt;180,D14&lt;=9),80,IF(AND(E8&lt;=50,'Crop Budget (Main)'!C14&lt;=100,D14&lt;=19),160,IF(AND(E8&lt;=50,'Crop Budget (Main)'!C14&lt;=120,D14&lt;=19),165,IF(AND(E8&lt;=50,'Crop Budget (Main)'!C14&lt;=140,D14&lt;=19),170,IF(AND(E8&lt;=50,'Crop Budget (Main)'!C14&lt;=160,D14&lt;=19),175,IF(AND(E8&lt;=50,'Crop Budget (Main)'!C14&lt;=180,D14&lt;=19),180,IF(AND(E8&lt;=50,'Crop Budget (Main)'!C14&gt;180,D14&lt;=19),180,IF(AND(E8&lt;=100,'Crop Budget (Main)'!C14&lt;=100,D14&lt;=19),120,IF(AND(E8&lt;=100,'Crop Budget (Main)'!C14&lt;=120,D14&lt;=19),125,IF(AND(E8&lt;=100,'Crop Budget (Main)'!C14&lt;=140,D14&lt;=19),135,IF(AND(E8&lt;=100,'Crop Budget (Main)'!C14&lt;=160,D14&lt;=19),140,IF(AND(E8&lt;=100,'Crop Budget (Main)'!C14&lt;=180,D14&lt;=19),145,IF(AND(E8&lt;=100,'Crop Budget (Main)'!C14&gt;180,D14&lt;=19),145,IF(AND(E8&lt;=150,'Crop Budget (Main)'!C14&lt;=100,D14&lt;=19),85,IF(AND(E8&lt;=150,'Crop Budget (Main)'!C14&lt;=120,D14&lt;=19),90,IF(AND(E8&lt;=150,'Crop Budget (Main)'!C14&lt;=140,D14&lt;=19),95,IF(AND(E8&lt;=150,'Crop Budget (Main)'!C14&lt;=160,D14&lt;=19),100,IF(AND(E8&lt;=150,'Crop Budget (Main)'!C14&lt;=180,D14&lt;=19),105,IF(AND(E8&lt;=150,'Crop Budget (Main)'!C14&gt;180,D14&lt;=19),100,IF(AND(E8&lt;=200,'Crop Budget (Main)'!C14&lt;=100,D14&lt;=19),45,IF(AND(E8&lt;=200,'Crop Budget (Main)'!C14&lt;=120,D14&lt;=19),50,IF(AND(E8&lt;=200,'Crop Budget (Main)'!C14&lt;=140,D14&lt;=19),60,IF(AND(E8&lt;=200,'Crop Budget (Main)'!C14&lt;=160,D14&lt;=19),65,IF(AND(E8&lt;=200,'Crop Budget (Main)'!C14&lt;=180,D14&lt;=19),70,IF(AND(E8&lt;=200,'Crop Budget (Main)'!C14&gt;180,D14&lt;=19),70,IF(AND(E8&lt;=100,'Crop Budget (Main)'!C14&lt;=100,D14&lt;=29),195,IF(AND(E8&lt;=100,'Crop Budget (Main)'!C14&lt;=120,D14&lt;=29),200,IF(AND(E8&lt;=100,'Crop Budget (Main)'!C14&lt;=140,D14&lt;=29),210,IF(AND(E8&lt;=100,'Crop Budget (Main)'!C14&lt;=160,D14&lt;=29),215,IF(AND(E8&lt;=100,'Crop Budget (Main)'!C14&lt;=180,D14&lt;=29),220,IF(AND(E8&lt;=100,'Crop Budget (Main)'!C14&gt;180,D14&lt;=29),220,IF(AND(E8&lt;=150,'Crop Budget (Main)'!C14&lt;=100,D14&lt;=29),145,IF(AND(E8&lt;=150,'Crop Budget (Main)'!C14&lt;=120,D14&lt;=29),150,IF(AND(E8&lt;=150,'Crop Budget (Main)'!C14&lt;=140,D14&lt;=29),160,IF(AND(E8&lt;=150,'Crop Budget (Main)'!C14&lt;=160,D14&lt;=29),165,IF(AND(E8&lt;=150,'Crop Budget (Main)'!C14&lt;=180,D14&lt;=29),170,IF(AND(E8&lt;=150,'Crop Budget (Main)'!C14&gt;180,D14&lt;=29),170,IF(AND(E8&lt;=200,'Crop Budget (Main)'!C14&lt;=100,D14&lt;=29),95,IF(AND(E8&lt;=200,'Crop Budget (Main)'!C14&lt;=120,D14&lt;=29),100,IF(AND(E8&lt;=200,'Crop Budget (Main)'!C14&lt;=140,D14&lt;=29),110,IF(AND(E8&lt;=200,'Crop Budget (Main)'!C14&lt;=160,D14&lt;=29),115,IF(AND(E8&lt;=200,'Crop Budget (Main)'!C14&lt;=180,D14&lt;=29),120,IF(AND(E8&lt;=200,'Crop Budget (Main)'!C14&gt;180,D14&lt;=29),120</t>
  </si>
  <si>
    <t>IF(AND(E8&lt;=250,'Crop Budget (Main)'!C14&lt;=100,D14&lt;=19),45,IF(AND(E8&lt;=250,'Crop Budget (Main)'!C14&lt;=120,D14&lt;=19),50,IF(AND(E8&lt;=250,'Crop Budget (Main)'!C14&lt;=140,D14&lt;=19),60,IF(AND(E8&lt;=250,'Crop Budget (Main)'!C14&lt;=160,D14&lt;=19),65,IF(AND(E8&lt;=250,'Crop Budget (Main)'!C14&lt;=180,D14&lt;=19),70,IF(AND(E8&lt;=250,'Crop Budget (Main)'!C14&gt;180,D14&lt;=19),70</t>
  </si>
  <si>
    <t>IF(AND(E8&lt;=250,'Crop Budget (Main)'!C14&lt;=100,D14&lt;=29),95,IF(AND(E8&lt;=250,'Crop Budget (Main)'!C14&lt;=120,D14&lt;=29),100,IF(AND(E8&lt;=250,'Crop Budget (Main)'!C14&lt;=140,D14&lt;=29),110,IF(AND(E8&lt;=250,'Crop Budget (Main)'!C14&lt;=160,D14&lt;=29),115,IF(AND(E8&lt;=250,'Crop Budget (Main)'!C14&lt;=180,D14&lt;=29),120,IF(AND(E8&lt;=250,'Crop Budget (Main)'!C14&gt;180,D14&lt;=29),120</t>
  </si>
  <si>
    <t>IF(AND(I8&lt;=50,'Crop Budget (Main)'!G14&lt;=30,H14&lt;=9),140,IF(AND(I8&lt;=50,'Crop Budget (Main)'!G14&lt;=40,H14&lt;=9),155,IF(AND(I8&lt;=50,'Crop Budget (Main)'!G14&lt;=50,H14&lt;=9),170,IF(AND(I8&lt;=50,'Crop Budget (Main)'!G14&lt;=60,H14&lt;=9),180,IF(AND(I8&lt;=50,'Crop Budget (Main)'!G14&lt;=70,H14&lt;=9),195,IF(AND(I8&lt;=50,'Crop Budget (Main)'!G14&gt;70,H14&lt;=9),195</t>
  </si>
  <si>
    <t>IF(AND(I8&lt;=100,'Crop Budget (Main)'!G14&lt;=30,H14&lt;=9),110,IF(AND(I8&lt;=100,'Crop Budget (Main)'!G14&lt;=40,H14&lt;=9),125,IF(AND(I8&lt;=100,'Crop Budget (Main)'!G14&lt;=50,H14&lt;=9),135,IF(AND(I8&lt;=100,'Crop Budget (Main)'!G14&lt;=60,H14&lt;=9),150,IF(AND(I8&lt;=100,'Crop Budget (Main)'!G14&lt;=70,H14&lt;=9),165,IF(AND(I8&lt;=100,'Crop Budget (Main)'!G14&gt;70,H14&lt;=9),165</t>
  </si>
  <si>
    <t>IF(AND(I8&lt;=150,'Crop Budget (Main)'!G14&lt;=30,H14&lt;=9),80,IF(AND(I8&lt;=150,'Crop Budget (Main)'!G14&lt;=40,H14&lt;=9),90,IF(AND(I8&lt;=150,'Crop Budget (Main)'!G14&lt;=50,H14&lt;=9),105,IF(AND(I8&lt;=150,'Crop Budget (Main)'!G14&lt;=60,H14&lt;=9),105,IF(AND(I8&lt;=150,'Crop Budget (Main)'!G14&lt;=70,H14&lt;=9),120,IF(AND(I8&lt;=150,'Crop Budget (Main)'!G14&gt;70,H14&lt;=9),120</t>
  </si>
  <si>
    <t>IF(AND(I8&lt;=50,'Crop Budget (Main)'!G14&lt;=30,H14&lt;=19),175,IF(AND(I8&lt;=50,'Crop Budget (Main)'!G14&lt;=40,H14&lt;=19),190,IF(AND(I8&lt;=50,'Crop Budget (Main)'!G14&lt;=50,H14&lt;=19),205,IF(AND(I8&lt;=50,'Crop Budget (Main)'!G14&lt;=60,H14&lt;=19),215,IF(AND(I8&lt;=50,'Crop Budget (Main)'!G14&lt;=70,H14&lt;=19),230,IF(AND(I8&lt;=50,'Crop Budget (Main)'!G14&gt;70,H14&lt;=19),230</t>
  </si>
  <si>
    <t>IF(AND(I8&lt;=100,'Crop Budget (Main)'!G14&lt;=30,H14&lt;=19),135,IF(AND(I8&lt;=100,'Crop Budget (Main)'!G14&lt;=40,H14&lt;=19),150,IF(AND(I8&lt;=100,'Crop Budget (Main)'!G14&lt;=50,H14&lt;=19),165,IF(AND(I8&lt;=100,'Crop Budget (Main)'!G14&lt;=60,H14&lt;=19),180,IF(AND(I8&lt;=100,'Crop Budget (Main)'!G14&lt;=70,H14&lt;=19),195,IF(AND(I8&lt;=100,'Crop Budget (Main)'!G14&gt;70,H14&lt;=19),195</t>
  </si>
  <si>
    <t>IF(AND(I8&lt;=150,'Crop Budget (Main)'!G14&lt;=30,H14&lt;=19),100,IF(AND(I8&lt;=150,'Crop Budget (Main)'!G14&lt;=40,H14&lt;=19),115,IF(AND(I8&lt;=150,'Crop Budget (Main)'!G14&lt;=50,H14&lt;=19),130,IF(AND(I8&lt;=150,'Crop Budget (Main)'!G14&lt;=60,H14&lt;=19),140,IF(AND(I8&lt;=150,'Crop Budget (Main)'!G14&lt;=70,H14&lt;=19),155,IF(AND(I8&lt;=150,'Crop Budget (Main)'!G14&gt;70,H14&lt;=19),155</t>
  </si>
  <si>
    <t>IF(AND(I8&lt;=250,'Crop Budget (Main)'!G14&lt;=30,H14&lt;=19),60,IF(AND(I8&lt;=250,'Crop Budget (Main)'!G14&lt;=40,H14&lt;=19),75,IF(AND(I8&lt;=250,'Crop Budget (Main)'!G14&lt;=50,H14&lt;=19),90,IF(AND(I8&lt;=250,'Crop Budget (Main)'!G14&lt;=60,H14&lt;=19),105,IF(AND(I8&lt;=250,'Crop Budget (Main)'!G14&lt;=70,H14&lt;=19),120,IF(AND(I8&lt;=250,'Crop Budget (Main)'!G14&gt;70,H14&lt;=19),120</t>
  </si>
  <si>
    <t>IF(AND(I8&lt;=100,'Crop Budget (Main)'!G14&lt;=100,H14&lt;=29),210,IF(AND(I8&lt;=100,'Crop Budget (Main)'!G14&lt;=120,H14&lt;=29),225,IF(AND(I8&lt;=100,'Crop Budget (Main)'!G14&lt;=140,H14&lt;=29),240,IF(AND(I8&lt;=100,'Crop Budget (Main)'!G14&lt;=160,H14&lt;=29),255,IF(AND(I8&lt;=100,'Crop Budget (Main)'!G14&lt;=180,H14&lt;=29),270,IF(AND(I8&lt;=100,'Crop Budget (Main)'!G14&gt;180,H14&lt;=29),270</t>
  </si>
  <si>
    <t>IF(AND(I8&lt;=150,'Crop Budget (Main)'!G14&lt;=100,H14&lt;=29),160,IF(AND(I8&lt;=150,'Crop Budget (Main)'!G14&lt;=120,H14&lt;=29),175,IF(AND(I8&lt;=150,'Crop Budget (Main)'!G14&lt;=140,H14&lt;=29),190,IF(AND(I8&lt;=150,'Crop Budget (Main)'!G14&lt;=160,H14&lt;=29),205,IF(AND(I8&lt;=150,'Crop Budget (Main)'!G14&lt;=180,H14&lt;=29),220,IF(AND(I8&lt;=150,'Crop Budget (Main)'!G14&gt;180,H14&lt;=29),220</t>
  </si>
  <si>
    <t>IF(AND(I8&lt;=250,'Crop Budget (Main)'!G14&lt;=100,H14&lt;=29),110,IF(AND(I8&lt;=250,'Crop Budget (Main)'!G14&lt;=120,H14&lt;=29),125,IF(AND(I8&lt;=250,'Crop Budget (Main)'!G14&lt;=140,H14&lt;=29),140,IF(AND(I8&lt;=250,'Crop Budget (Main)'!G14&lt;=160,H14&lt;=29),155,IF(AND(I8&lt;=250,'Crop Budget (Main)'!G14&lt;=180,H14&lt;=29),170,IF(AND(I8&lt;=250,'Crop Budget (Main)'!G14&gt;180,H14&lt;=29),170</t>
  </si>
  <si>
    <t>IF(AND(I8&lt;=50,'Crop Budget (Main)'!G14&lt;=30,H14&lt;=9),140,IF(AND(I8&lt;=50,'Crop Budget (Main)'!G14&lt;=40,H14&lt;=9),155,IF(AND(I8&lt;=50,'Crop Budget (Main)'!G14&lt;=50,H14&lt;=9),170,IF(AND(I8&lt;=50,'Crop Budget (Main)'!G14&lt;=60,H14&lt;=9),180,IF(AND(I8&lt;=50,'Crop Budget (Main)'!G14&lt;=70,H14&lt;=9),195,IF(AND(I8&lt;=50,'Crop Budget (Main)'!G14&gt;70,H14&lt;=9),195,IF(AND(I8&lt;=100,'Crop Budget (Main)'!G14&lt;=30,H14&lt;=9),110,IF(AND(I8&lt;=100,'Crop Budget (Main)'!G14&lt;=40,H14&lt;=9),125,IF(AND(I8&lt;=100,'Crop Budget (Main)'!G14&lt;=50,H14&lt;=9),135,IF(AND(I8&lt;=100,'Crop Budget (Main)'!G14&lt;=60,H14&lt;=9),150,IF(AND(I8&lt;=100,'Crop Budget (Main)'!G14&lt;=70,H14&lt;=9),165,IF(AND(I8&lt;=100,'Crop Budget (Main)'!G14&gt;70,H14&lt;=9),165,IF(AND(I8&lt;=150,'Crop Budget (Main)'!G14&lt;=30,H14&lt;=9),80,IF(AND(I8&lt;=150,'Crop Budget (Main)'!G14&lt;=40,H14&lt;=9),90,IF(AND(I8&lt;=150,'Crop Budget (Main)'!G14&lt;=50,H14&lt;=9),105,IF(AND(I8&lt;=150,'Crop Budget (Main)'!G14&lt;=60,H14&lt;=9),105,IF(AND(I8&lt;=150,'Crop Budget (Main)'!G14&lt;=70,H14&lt;=9),120,IF(AND(I8&lt;=150,'Crop Budget (Main)'!G14&gt;70,H14&lt;=9),120,IF(AND(I8&lt;=50,'Crop Budget (Main)'!G14&lt;=30,H14&lt;=19),175,IF(AND(I8&lt;=50,'Crop Budget (Main)'!G14&lt;=40,H14&lt;=19),190,IF(AND(I8&lt;=50,'Crop Budget (Main)'!G14&lt;=50,H14&lt;=19),205,IF(AND(I8&lt;=50,'Crop Budget (Main)'!G14&lt;=60,H14&lt;=19),215,IF(AND(I8&lt;=50,'Crop Budget (Main)'!G14&lt;=70,H14&lt;=19),230,IF(AND(I8&lt;=50,'Crop Budget (Main)'!G14&gt;70,H14&lt;=19),230,IF(AND(I8&lt;=100,'Crop Budget (Main)'!G14&lt;=30,H14&lt;=19),135,IF(AND(I8&lt;=100,'Crop Budget (Main)'!G14&lt;=40,H14&lt;=19),150,IF(AND(I8&lt;=100,'Crop Budget (Main)'!G14&lt;=50,H14&lt;=19),165,IF(AND(I8&lt;=100,'Crop Budget (Main)'!G14&lt;=60,H14&lt;=19),180,IF(AND(I8&lt;=100,'Crop Budget (Main)'!G14&lt;=70,H14&lt;=19),195,IF(AND(I8&lt;=100,'Crop Budget (Main)'!G14&gt;70,H14&lt;=19),195,IF(AND(I8&lt;=150,'Crop Budget (Main)'!G14&lt;=30,H14&lt;=19),100,IF(AND(I8&lt;=150,'Crop Budget (Main)'!G14&lt;=40,H14&lt;=19),115,IF(AND(I8&lt;=150,'Crop Budget (Main)'!G14&lt;=50,H14&lt;=19),130,IF(AND(I8&lt;=150,'Crop Budget (Main)'!G14&lt;=60,H14&lt;=19),140,IF(AND(I8&lt;=150,'Crop Budget (Main)'!G14&lt;=70,H14&lt;=19),155,IF(AND(I8&lt;=150,'Crop Budget (Main)'!G14&gt;70,H14&lt;=19),155,IF(AND(I8&lt;=250,'Crop Budget (Main)'!G14&lt;=30,H14&lt;=19),60,IF(AND(I8&lt;=250,'Crop Budget (Main)'!G14&lt;=40,H14&lt;=19),75,IF(AND(I8&lt;=250,'Crop Budget (Main)'!G14&lt;=50,H14&lt;=19),90,IF(AND(I8&lt;=250,'Crop Budget (Main)'!G14&lt;=60,H14&lt;=19),105,IF(AND(I8&lt;=250,'Crop Budget (Main)'!G14&lt;=70,H14&lt;=19),120,IF(AND(I8&lt;=250,'Crop Budget (Main)'!G14&gt;70,H14&lt;=19),120,IF(AND(I8&lt;=100,'Crop Budget (Main)'!G14&lt;=100,H14&lt;=29),210,IF(AND(I8&lt;=100,'Crop Budget (Main)'!G14&lt;=120,H14&lt;=29),225,IF(AND(I8&lt;=100,'Crop Budget (Main)'!G14&lt;=140,H14&lt;=29),240,IF(AND(I8&lt;=100,'Crop Budget (Main)'!G14&lt;=160,H14&lt;=29),255,IF(AND(I8&lt;=100,'Crop Budget (Main)'!G14&lt;=180,H14&lt;=29),270,IF(AND(I8&lt;=100,'Crop Budget (Main)'!G14&gt;180,H14&lt;=29),270,IF(AND(I8&lt;=150,'Crop Budget (Main)'!G14&lt;=100,H14&lt;=29),160,IF(AND(I8&lt;=150,'Crop Budget (Main)'!G14&lt;=120,H14&lt;=29),175,IF(AND(I8&lt;=150,'Crop Budget (Main)'!G14&lt;=140,H14&lt;=29),190,IF(AND(I8&lt;=150,'Crop Budget (Main)'!G14&lt;=160,H14&lt;=29),205,IF(AND(I8&lt;=150,'Crop Budget (Main)'!G14&lt;=180,H14&lt;=29),220,IF(AND(I8&lt;=150,'Crop Budget (Main)'!G14&gt;180,H14&lt;=29),220,IF(AND(I8&lt;=250,'Crop Budget (Main)'!G14&lt;=100,H14&lt;=29),110,IF(AND(I8&lt;=250,'Crop Budget (Main)'!G14&lt;=120,H14&lt;=29),125,IF(AND(I8&lt;=250,'Crop Budget (Main)'!G14&lt;=140,H14&lt;=29),140,IF(AND(I8&lt;=250,'Crop Budget (Main)'!G14&lt;=160,H14&lt;=29),155,IF(AND(I8&lt;=250,'Crop Budget (Main)'!G14&lt;=180,H14&lt;=29),170,IF(AND(I8&lt;=250,'Crop Budget (Main)'!G14&gt;180,H14&lt;=29),170</t>
  </si>
  <si>
    <t xml:space="preserve">Input soil test results, manure nutrient analysis, and compare with nutrient removal rates and tri-state recommendations to determine the total amount of nutrients needed.  </t>
  </si>
  <si>
    <t>IF(AND(M8&lt;=50,'Crop Budget (Main)'!K14&lt;=50,L14&lt;=9),115,IF(AND(M8&lt;=50,'Crop Budget (Main)'!K14&lt;=60,L14&lt;=9),130,IF(AND(M8&lt;=50,'Crop Budget (Main)'!K14&lt;=70,L14&lt;=9),125,IF(AND(M8&lt;=50,'Crop Budget (Main)'!K14&lt;=80,L14&lt;=9),130,IF(AND(M8&lt;=50,'Crop Budget (Main)'!K14&lt;=90,L14&lt;=9),130,IF(AND(M8&lt;=50,'Crop Budget (Main)'!K14&gt;90,L14&lt;=9),130</t>
  </si>
  <si>
    <t>IF(AND(M8&lt;=100,'Crop Budget (Main)'!K14&lt;=50,L14&lt;=9),85,IF(AND(M8&lt;=100,'Crop Budget (Main)'!K14&lt;=60,L14&lt;=9),90,IF(AND(M8&lt;=100,'Crop Budget (Main)'!K14&lt;=70,L14&lt;=9),95,IF(AND(M8&lt;=100,'Crop Budget (Main)'!K14&lt;=80,L14&lt;=9),95,IF(AND(M8&lt;=100,'Crop Budget (Main)'!K14&lt;=90,L14&lt;=9),100,IF(AND(M8&lt;=100,'Crop Budget (Main)'!K14&gt;90,L14&lt;=9),100</t>
  </si>
  <si>
    <t>IF(AND(M8&lt;=150,'Crop Budget (Main)'!K14&lt;=50,L14&lt;=9),55,IF(AND(M8&lt;=150,'Crop Budget (Main)'!K14&lt;=60,L14&lt;=9),60,IF(AND(M8&lt;=150,'Crop Budget (Main)'!K14&lt;=70,L14&lt;=9),60,IF(AND(M8&lt;=150,'Crop Budget (Main)'!K14&lt;=80,L14&lt;=9),65,IF(AND(M8&lt;=150,'Crop Budget (Main)'!K14&lt;=90,L14&lt;=9),70,IF(AND(M8&lt;=150,'Crop Budget (Main)'!K14&gt;90,L14&lt;=9),70</t>
  </si>
  <si>
    <t>IF(AND(M8&lt;=50,'Crop Budget (Main)'!K14&lt;=50,L14&lt;=19),150,IF(AND(M8&lt;=50,'Crop Budget (Main)'!K14&lt;=60,L14&lt;=19),155,IF(AND(M8&lt;=50,'Crop Budget (Main)'!K14&lt;=70,L14&lt;=19),160,IF(AND(M8&lt;=50,'Crop Budget (Main)'!K14&lt;=80,L14&lt;=19),160,IF(AND(M8&lt;=50,'Crop Budget (Main)'!K14&lt;=90,L14&lt;=19),165,IF(AND(M8&lt;=50,'Crop Budget (Main)'!K14&gt;90,L14&lt;=19),165</t>
  </si>
  <si>
    <t>IF(AND(M8&lt;=100,'Crop Budget (Main)'!K14&lt;=50,L14&lt;=19),115,IF(AND(M8&lt;=100,'Crop Budget (Main)'!K14&lt;=60,L14&lt;=19),115,IF(AND(M8&lt;=100,'Crop Budget (Main)'!K14&lt;=70,L14&lt;=19),120,IF(AND(M8&lt;=100,'Crop Budget (Main)'!K14&lt;=80,L14&lt;=19),125,IF(AND(M8&lt;=100,'Crop Budget (Main)'!K14&lt;=90,L14&lt;=19),130,IF(AND(M8&lt;=100,'Crop Budget (Main)'!K14&gt;90,L14&lt;=19),130</t>
  </si>
  <si>
    <t>IF(AND(M8&lt;=200,'Crop Budget (Main)'!K14&lt;=50,L14&lt;=19),40,IF(AND(M8&lt;=200,'Crop Budget (Main)'!K14&lt;=60,L14&lt;=19),40,IF(AND(M8&lt;=200,'Crop Budget (Main)'!K14&lt;=70,L14&lt;=19),45,IF(AND(M8&lt;=200,'Crop Budget (Main)'!K14&lt;=80,L14&lt;=19),50,IF(AND(M8&lt;=200,'Crop Budget (Main)'!K14&lt;=90,L14&lt;=19),50,IF(AND(M8&lt;=200,'Crop Budget (Main)'!K14&gt;90,L14&lt;=19),50</t>
  </si>
  <si>
    <t>IF(AND(M8&lt;=100,'Crop Budget (Main)'!K14&lt;=50,L14&lt;=29),190,IF(AND(M8&lt;=100,'Crop Budget (Main)'!K14&lt;=60,L14&lt;=29),190,IF(AND(M8&lt;=100,'Crop Budget (Main)'!K14&lt;=70,L14&lt;=29),195,IF(AND(M8&lt;=100,'Crop Budget (Main)'!K14&lt;=80,L14&lt;=29),200,IF(AND(M8&lt;=100,'Crop Budget (Main)'!K14&lt;=90,L14&lt;=29),205,IF(AND(M8&lt;=100,'Crop Budget (Main)'!K14&gt;90,L14&lt;=29),205</t>
  </si>
  <si>
    <t>IF(AND(M8&lt;=150,'Crop Budget (Main)'!K14&lt;=50,L14&lt;=29),140,IF(AND(M8&lt;=150,'Crop Budget (Main)'!K14&lt;=60,L14&lt;=29),140,IF(AND(M8&lt;=150,'Crop Budget (Main)'!K14&lt;=70,L14&lt;=29),145,IF(AND(M8&lt;=150,'Crop Budget (Main)'!K14&lt;=80,L14&lt;=29),150,IF(AND(M8&lt;=150,'Crop Budget (Main)'!K14&lt;=90,L14&lt;=29),155,IF(AND(M8&lt;=150,'Crop Budget (Main)'!K14&gt;90,L14&lt;=29),155</t>
  </si>
  <si>
    <t>IF(AND(M8&lt;=200,'Crop Budget (Main)'!K14&lt;=50,L14&lt;=29),90,IF(AND(M8&lt;=200,'Crop Budget (Main)'!K14&lt;=60,L14&lt;=29),90,IF(AND(M8&lt;=200,'Crop Budget (Main)'!K14&lt;=70,L14&lt;=29),95,IF(AND(M8&lt;=200,'Crop Budget (Main)'!K14&lt;=80,L14&lt;=29),100,IF(AND(M8&lt;=200,'Crop Budget (Main)'!K14&lt;=90,L14&lt;=29),105,IF(AND(M8&lt;=200,'Crop Budget (Main)'!K14&gt;90,L14&lt;=29),105</t>
  </si>
  <si>
    <t>IF(AND(M8&lt;=150,'Crop Budget (Main)'!K14&lt;=50,L14&lt;=19),75,IF(AND(M8&lt;=150,'Crop Budget (Main)'!K14&lt;=60,L14&lt;=19),80,IF(AND(M8&lt;=150,'Crop Budget (Main)'!K14&lt;=70,L14&lt;=19),85,IF(AND(M8&lt;=150,'Crop Budget (Main)'!K14&lt;=80,L14&lt;=19),85,IF(AND(M8&lt;=150,'Crop Budget (Main)'!K14&lt;=90,L14&lt;=19),90,IF(AND(M8&lt;=150,'Crop Budget (Main)'!K14&gt;90,L14&lt;=19),90</t>
  </si>
  <si>
    <t>IF(AND(M8&lt;=50,'Crop Budget (Main)'!K14&lt;=50,L14&lt;=9),115,IF(AND(M8&lt;=50,'Crop Budget (Main)'!K14&lt;=60,L14&lt;=9),130,IF(AND(M8&lt;=50,'Crop Budget (Main)'!K14&lt;=70,L14&lt;=9),125,IF(AND(M8&lt;=50,'Crop Budget (Main)'!K14&lt;=80,L14&lt;=9),130,IF(AND(M8&lt;=50,'Crop Budget (Main)'!K14&lt;=90,L14&lt;=9),130,IF(AND(M8&lt;=50,'Crop Budget (Main)'!K14&gt;90,L14&lt;=9),130,IF(AND(M8&lt;=100,'Crop Budget (Main)'!K14&lt;=50,L14&lt;=9),85,IF(AND(M8&lt;=100,'Crop Budget (Main)'!K14&lt;=60,L14&lt;=9),90,IF(AND(M8&lt;=100,'Crop Budget (Main)'!K14&lt;=70,L14&lt;=9),95,IF(AND(M8&lt;=100,'Crop Budget (Main)'!K14&lt;=80,L14&lt;=9),95,IF(AND(M8&lt;=100,'Crop Budget (Main)'!K14&lt;=90,L14&lt;=9),100,IF(AND(M8&lt;=100,'Crop Budget (Main)'!K14&gt;90,L14&lt;=9),100,IF(AND(M8&lt;=150,'Crop Budget (Main)'!K14&lt;=50,L14&lt;=9),55,IF(AND(M8&lt;=150,'Crop Budget (Main)'!K14&lt;=60,L14&lt;=9),60,IF(AND(M8&lt;=150,'Crop Budget (Main)'!K14&lt;=70,L14&lt;=9),60,IF(AND(M8&lt;=150,'Crop Budget (Main)'!K14&lt;=80,L14&lt;=9),65,IF(AND(M8&lt;=150,'Crop Budget (Main)'!K14&lt;=90,L14&lt;=9),70,IF(AND(M8&lt;=150,'Crop Budget (Main)'!K14&gt;90,L14&lt;=9),70,IF(AND(M8&lt;=50,'Crop Budget (Main)'!K14&lt;=50,L14&lt;=19),150,IF(AND(M8&lt;=50,'Crop Budget (Main)'!K14&lt;=60,L14&lt;=19),155,IF(AND(M8&lt;=50,'Crop Budget (Main)'!K14&lt;=70,L14&lt;=19),160,IF(AND(M8&lt;=50,'Crop Budget (Main)'!K14&lt;=80,L14&lt;=19),160,IF(AND(M8&lt;=50,'Crop Budget (Main)'!K14&lt;=90,L14&lt;=19),165,IF(AND(M8&lt;=50,'Crop Budget (Main)'!K14&gt;90,L14&lt;=19),165,IF(AND(M8&lt;=100,'Crop Budget (Main)'!K14&lt;=50,L14&lt;=19),115,IF(AND(M8&lt;=100,'Crop Budget (Main)'!K14&lt;=60,L14&lt;=19),115,IF(AND(M8&lt;=100,'Crop Budget (Main)'!K14&lt;=70,L14&lt;=19),120,IF(AND(M8&lt;=100,'Crop Budget (Main)'!K14&lt;=80,L14&lt;=19),125,IF(AND(M8&lt;=100,'Crop Budget (Main)'!K14&lt;=90,L14&lt;=19),130,IF(AND(M8&lt;=100,'Crop Budget (Main)'!K14&gt;90,L14&lt;=19),130,IF(AND(M8&lt;=150,'Crop Budget (Main)'!K14&lt;=50,L14&lt;=19),75,IF(AND(M8&lt;=150,'Crop Budget (Main)'!K14&lt;=60,L14&lt;=19),80,IF(AND(M8&lt;=150,'Crop Budget (Main)'!K14&lt;=70,L14&lt;=19),85,IF(AND(M8&lt;=150,'Crop Budget (Main)'!K14&lt;=80,L14&lt;=19),85,IF(AND(M8&lt;=150,'Crop Budget (Main)'!K14&lt;=90,L14&lt;=19),90,IF(AND(M8&lt;=150,'Crop Budget (Main)'!K14&gt;90,L14&lt;=19),90,IF(AND(M8&lt;=200,'Crop Budget (Main)'!K14&lt;=50,L14&lt;=19),40,IF(AND(M8&lt;=200,'Crop Budget (Main)'!K14&lt;=60,L14&lt;=19),40,IF(AND(M8&lt;=200,'Crop Budget (Main)'!K14&lt;=70,L14&lt;=19),45,IF(AND(M8&lt;=200,'Crop Budget (Main)'!K14&lt;=80,L14&lt;=19),50,IF(AND(M8&lt;=200,'Crop Budget (Main)'!K14&lt;=90,L14&lt;=19),50,IF(AND(M8&lt;=200,'Crop Budget (Main)'!K14&gt;90,L14&lt;=19),50,IF(AND(M8&lt;=100,'Crop Budget (Main)'!K14&lt;=50,L14&lt;=29),190,IF(AND(M8&lt;=100,'Crop Budget (Main)'!K14&lt;=60,L14&lt;=29),190,IF(AND(M8&lt;=100,'Crop Budget (Main)'!K14&lt;=70,L14&lt;=29),195,IF(AND(M8&lt;=100,'Crop Budget (Main)'!K14&lt;=80,L14&lt;=29),200,IF(AND(M8&lt;=100,'Crop Budget (Main)'!K14&lt;=90,L14&lt;=29),205,IF(AND(M8&lt;=100,'Crop Budget (Main)'!K14&gt;90,L14&lt;=29),205,IF(AND(M8&lt;=150,'Crop Budget (Main)'!K14&lt;=50,L14&lt;=29),140,IF(AND(M8&lt;=150,'Crop Budget (Main)'!K14&lt;=60,L14&lt;=29),140,IF(AND(M8&lt;=150,'Crop Budget (Main)'!K14&lt;=70,L14&lt;=29),145,IF(AND(M8&lt;=150,'Crop Budget (Main)'!K14&lt;=80,L14&lt;=29),150,IF(AND(M8&lt;=150,'Crop Budget (Main)'!K14&lt;=90,L14&lt;=29),155,IF(AND(M8&lt;=150,'Crop Budget (Main)'!K14&gt;90,L14&lt;=29),155,IF(AND(M8&lt;=200,'Crop Budget (Main)'!K14&lt;=50,L14&lt;=29),90,IF(AND(M8&lt;=200,'Crop Budget (Main)'!K14&lt;=60,L14&lt;=29),90,IF(AND(M8&lt;=200,'Crop Budget (Main)'!K14&lt;=70,L14&lt;=29),95,IF(AND(M8&lt;=200,'Crop Budget (Main)'!K14&lt;=80,L14&lt;=29),100,IF(AND(M8&lt;=200,'Crop Budget (Main)'!K14&lt;=90,L14&lt;=29),105,IF(AND(M8&lt;=200,'Crop Budget (Main)'!K14&gt;90,L14&lt;=29),105</t>
  </si>
  <si>
    <t>Profit Per Acre</t>
  </si>
  <si>
    <t>Maximized Profit</t>
  </si>
  <si>
    <t>6. After running Solver, the acres will be re-adjusted to maximize the profit of the combined crops (i.e. corn, soybeans, and wheat).</t>
  </si>
  <si>
    <t>2. Note the revenue per are is provided from the Crop Budget (Main) tab for all crops in column E.</t>
  </si>
  <si>
    <t>5. Click on the Maximized Profit cell in C15 and run the Solver tool (click on Data on the top toolbar).  Solver is pre-programmed, but can be reset using the photo below:</t>
  </si>
  <si>
    <t>Bushels Produced</t>
  </si>
  <si>
    <t>Relationship to</t>
  </si>
  <si>
    <t>Bushels Capacity</t>
  </si>
  <si>
    <t>Storage Capacity</t>
  </si>
  <si>
    <t>Optimization Instructions (w/ storage constraints)</t>
  </si>
  <si>
    <t>1. Note column J is calculated using the bushels input into Crop Budget (Main) multiplied by Column D4:D6</t>
  </si>
  <si>
    <t>2. Column K indicates that the bushels produced must be less than or equal to the amount of storage on the farm</t>
  </si>
  <si>
    <t>3. Follow #5 in the Optimization Instruction to open Solver</t>
  </si>
  <si>
    <t>4. Input the additional constraints of storage as shown below:</t>
  </si>
  <si>
    <t>5. After re-running Solver, the acres will be re-adjusted to maximize the profit of the combined crops (i.e. corn, soybeans, and wheat).</t>
  </si>
  <si>
    <t>1. Enter the acres for consideration in the Optimizer in column D4:D6.  The acres already on the Crop Budget (Main) tab have been provided for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</si>
</sst>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quot;$&quot;#,##0.00"/>
    <numFmt numFmtId="166" formatCode="0.0"/>
    <numFmt numFmtId="167" formatCode="0.0%"/>
    <numFmt numFmtId="168" formatCode="_(* #,##0_);_(* \(#,##0\);_(* &quot;-&quot;??_);_(@_)"/>
  </numFmts>
  <fonts count="73">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1"/>
      <color rgb="FFFF0000"/>
      <name val="Calibri"/>
      <family val="2"/>
      <scheme val="minor"/>
    </font>
    <font>
      <b/>
      <sz val="11"/>
      <name val="Calibri"/>
      <family val="2"/>
      <scheme val="minor"/>
    </font>
    <font>
      <b/>
      <sz val="14"/>
      <color theme="1"/>
      <name val="Calibri"/>
      <family val="2"/>
      <scheme val="minor"/>
    </font>
    <font>
      <b/>
      <sz val="16"/>
      <color theme="1"/>
      <name val="Calibri"/>
      <family val="2"/>
      <scheme val="minor"/>
    </font>
    <font>
      <b/>
      <sz val="12"/>
      <name val="Calibri"/>
      <family val="2"/>
      <scheme val="minor"/>
    </font>
    <font>
      <b/>
      <sz val="12"/>
      <color theme="1"/>
      <name val="Calibri"/>
      <family val="2"/>
      <scheme val="minor"/>
    </font>
    <font>
      <sz val="12"/>
      <color rgb="FFFF0000"/>
      <name val="Calibri"/>
      <family val="2"/>
      <scheme val="minor"/>
    </font>
    <font>
      <b/>
      <i/>
      <sz val="12"/>
      <color theme="1"/>
      <name val="Calibri"/>
      <family val="2"/>
      <scheme val="minor"/>
    </font>
    <font>
      <b/>
      <sz val="12"/>
      <color rgb="FFFF0000"/>
      <name val="Calibri"/>
      <family val="2"/>
      <scheme val="minor"/>
    </font>
    <font>
      <sz val="10"/>
      <color theme="1"/>
      <name val="Calibri"/>
      <family val="2"/>
      <scheme val="minor"/>
    </font>
    <font>
      <sz val="14"/>
      <color theme="1"/>
      <name val="Calibri"/>
      <family val="2"/>
      <scheme val="minor"/>
    </font>
    <font>
      <b/>
      <sz val="14"/>
      <name val="Calibri"/>
      <family val="2"/>
      <scheme val="minor"/>
    </font>
    <font>
      <sz val="14"/>
      <color rgb="FFFF0000"/>
      <name val="Calibri"/>
      <family val="2"/>
      <scheme val="minor"/>
    </font>
    <font>
      <sz val="26"/>
      <color theme="1"/>
      <name val="Calibri"/>
      <family val="2"/>
      <scheme val="minor"/>
    </font>
    <font>
      <sz val="14"/>
      <name val="Calibri"/>
      <family val="2"/>
      <scheme val="minor"/>
    </font>
    <font>
      <sz val="22"/>
      <color theme="0"/>
      <name val="Calibri"/>
      <family val="2"/>
      <scheme val="minor"/>
    </font>
    <font>
      <b/>
      <sz val="20"/>
      <color theme="0"/>
      <name val="Calibri"/>
      <family val="2"/>
      <scheme val="minor"/>
    </font>
    <font>
      <b/>
      <sz val="14"/>
      <color theme="0"/>
      <name val="Calibri"/>
      <family val="2"/>
      <scheme val="minor"/>
    </font>
    <font>
      <sz val="13"/>
      <color rgb="FF191919"/>
      <name val="Georgia"/>
      <family val="1"/>
    </font>
    <font>
      <b/>
      <sz val="16"/>
      <color theme="0"/>
      <name val="Calibri"/>
      <family val="2"/>
      <scheme val="minor"/>
    </font>
    <font>
      <sz val="12"/>
      <name val="Calibri"/>
      <family val="2"/>
      <scheme val="minor"/>
    </font>
    <font>
      <b/>
      <sz val="12"/>
      <color theme="0"/>
      <name val="Calibri"/>
      <family val="2"/>
      <scheme val="minor"/>
    </font>
    <font>
      <sz val="11"/>
      <name val="Calibri"/>
      <family val="2"/>
      <scheme val="minor"/>
    </font>
    <font>
      <sz val="11"/>
      <color theme="4" tint="-0.249977111117893"/>
      <name val="Calibri"/>
      <family val="2"/>
      <scheme val="minor"/>
    </font>
    <font>
      <sz val="10"/>
      <color rgb="FFFF0000"/>
      <name val="Calibri"/>
      <family val="2"/>
      <scheme val="minor"/>
    </font>
    <font>
      <i/>
      <sz val="12"/>
      <color theme="1"/>
      <name val="Calibri"/>
      <family val="2"/>
      <scheme val="minor"/>
    </font>
    <font>
      <sz val="12"/>
      <color theme="4" tint="-0.249977111117893"/>
      <name val="Calibri"/>
      <family val="2"/>
      <scheme val="minor"/>
    </font>
    <font>
      <sz val="8"/>
      <color theme="4" tint="-0.249977111117893"/>
      <name val="Calibri"/>
      <family val="2"/>
      <scheme val="minor"/>
    </font>
    <font>
      <b/>
      <sz val="12"/>
      <color theme="4" tint="-0.249977111117893"/>
      <name val="Calibri"/>
      <family val="2"/>
      <scheme val="minor"/>
    </font>
    <font>
      <b/>
      <sz val="11"/>
      <color theme="4" tint="-0.249977111117893"/>
      <name val="Calibri"/>
      <family val="2"/>
      <scheme val="minor"/>
    </font>
    <font>
      <b/>
      <i/>
      <sz val="12"/>
      <name val="Calibri"/>
      <family val="2"/>
      <scheme val="minor"/>
    </font>
    <font>
      <sz val="10"/>
      <color theme="4" tint="-0.249977111117893"/>
      <name val="Calibri"/>
      <family val="2"/>
      <scheme val="minor"/>
    </font>
    <font>
      <b/>
      <sz val="18"/>
      <color theme="0"/>
      <name val="Calibri"/>
      <family val="2"/>
      <scheme val="minor"/>
    </font>
    <font>
      <sz val="14"/>
      <color theme="6" tint="0.59999389629810485"/>
      <name val="Calibri"/>
      <family val="2"/>
      <scheme val="minor"/>
    </font>
    <font>
      <i/>
      <sz val="12"/>
      <name val="Calibri"/>
      <family val="2"/>
      <scheme val="minor"/>
    </font>
    <font>
      <b/>
      <i/>
      <sz val="12"/>
      <color theme="4" tint="-0.249977111117893"/>
      <name val="Calibri"/>
      <family val="2"/>
      <scheme val="minor"/>
    </font>
    <font>
      <b/>
      <sz val="12"/>
      <color theme="9" tint="-0.249977111117893"/>
      <name val="Calibri"/>
      <family val="2"/>
      <scheme val="minor"/>
    </font>
    <font>
      <b/>
      <u/>
      <sz val="12"/>
      <color theme="1"/>
      <name val="Calibri"/>
      <family val="2"/>
      <scheme val="minor"/>
    </font>
    <font>
      <b/>
      <u/>
      <sz val="12"/>
      <color theme="4" tint="-0.249977111117893"/>
      <name val="Calibri"/>
      <family val="2"/>
      <scheme val="minor"/>
    </font>
    <font>
      <sz val="20"/>
      <color theme="1"/>
      <name val="Calibri"/>
      <family val="2"/>
      <scheme val="minor"/>
    </font>
    <font>
      <b/>
      <i/>
      <sz val="10"/>
      <color theme="4" tint="-0.249977111117893"/>
      <name val="Calibri"/>
      <family val="2"/>
      <scheme val="minor"/>
    </font>
    <font>
      <b/>
      <i/>
      <sz val="12"/>
      <color theme="9" tint="-0.249977111117893"/>
      <name val="Calibri"/>
      <family val="2"/>
      <scheme val="minor"/>
    </font>
    <font>
      <b/>
      <sz val="28"/>
      <color rgb="FF0DB14B"/>
      <name val="Symbol"/>
      <family val="1"/>
      <charset val="2"/>
    </font>
    <font>
      <b/>
      <sz val="12"/>
      <color rgb="FF0DB14B"/>
      <name val="Calibri"/>
      <family val="2"/>
      <scheme val="minor"/>
    </font>
    <font>
      <u/>
      <sz val="11"/>
      <color theme="10"/>
      <name val="Calibri"/>
      <family val="2"/>
      <scheme val="minor"/>
    </font>
    <font>
      <b/>
      <i/>
      <sz val="11"/>
      <color rgb="FFFF0000"/>
      <name val="Calibri"/>
      <family val="2"/>
      <scheme val="minor"/>
    </font>
    <font>
      <b/>
      <i/>
      <sz val="12"/>
      <color rgb="FF18453B"/>
      <name val="Calibri"/>
      <family val="2"/>
      <scheme val="minor"/>
    </font>
    <font>
      <b/>
      <i/>
      <sz val="10"/>
      <color rgb="FF18453B"/>
      <name val="Calibri"/>
      <family val="2"/>
      <scheme val="minor"/>
    </font>
    <font>
      <i/>
      <sz val="12"/>
      <color rgb="FF18453B"/>
      <name val="Calibri"/>
      <family val="2"/>
      <scheme val="minor"/>
    </font>
    <font>
      <i/>
      <sz val="10"/>
      <color rgb="FF18453B"/>
      <name val="Calibri"/>
      <family val="2"/>
      <scheme val="minor"/>
    </font>
    <font>
      <b/>
      <sz val="11"/>
      <color theme="4"/>
      <name val="Calibri"/>
      <family val="2"/>
      <scheme val="minor"/>
    </font>
    <font>
      <b/>
      <i/>
      <sz val="12"/>
      <color theme="0"/>
      <name val="Calibri"/>
      <family val="2"/>
      <scheme val="minor"/>
    </font>
    <font>
      <b/>
      <sz val="14"/>
      <color theme="4" tint="-0.249977111117893"/>
      <name val="Calibri"/>
      <family val="2"/>
      <scheme val="minor"/>
    </font>
    <font>
      <sz val="14"/>
      <color theme="4" tint="-0.249977111117893"/>
      <name val="Calibri"/>
      <family val="2"/>
      <scheme val="minor"/>
    </font>
    <font>
      <i/>
      <sz val="14"/>
      <color theme="1"/>
      <name val="Calibri"/>
      <family val="2"/>
      <scheme val="minor"/>
    </font>
    <font>
      <i/>
      <sz val="14"/>
      <name val="Calibri"/>
      <family val="2"/>
      <scheme val="minor"/>
    </font>
    <font>
      <b/>
      <i/>
      <sz val="14"/>
      <color rgb="FF18453B"/>
      <name val="Calibri"/>
      <family val="2"/>
      <scheme val="minor"/>
    </font>
    <font>
      <b/>
      <i/>
      <sz val="14"/>
      <color theme="1"/>
      <name val="Calibri"/>
      <family val="2"/>
      <scheme val="minor"/>
    </font>
    <font>
      <sz val="12"/>
      <color theme="1"/>
      <name val="Calibri"/>
      <family val="1"/>
      <charset val="2"/>
      <scheme val="minor"/>
    </font>
    <font>
      <sz val="12"/>
      <color theme="1"/>
      <name val="Symbol"/>
      <family val="1"/>
      <charset val="2"/>
    </font>
    <font>
      <sz val="12"/>
      <color theme="1"/>
      <name val="Calibri"/>
      <family val="2"/>
    </font>
    <font>
      <u/>
      <sz val="12"/>
      <color theme="10"/>
      <name val="Calibri"/>
      <family val="2"/>
      <scheme val="minor"/>
    </font>
    <font>
      <b/>
      <sz val="14"/>
      <color rgb="FF0DB14B"/>
      <name val="Calibri"/>
      <family val="2"/>
      <scheme val="minor"/>
    </font>
    <font>
      <b/>
      <sz val="14"/>
      <color rgb="FF0DB14B"/>
      <name val="Symbol"/>
      <family val="1"/>
      <charset val="2"/>
    </font>
    <font>
      <b/>
      <i/>
      <sz val="14"/>
      <color theme="4" tint="-0.249977111117893"/>
      <name val="Calibri"/>
      <family val="2"/>
      <scheme val="minor"/>
    </font>
    <font>
      <b/>
      <i/>
      <sz val="14"/>
      <color theme="9" tint="-0.249977111117893"/>
      <name val="Calibri"/>
      <family val="2"/>
      <scheme val="minor"/>
    </font>
    <font>
      <b/>
      <i/>
      <sz val="14"/>
      <name val="Calibri"/>
      <family val="2"/>
      <scheme val="minor"/>
    </font>
    <font>
      <b/>
      <u/>
      <sz val="14"/>
      <color theme="1"/>
      <name val="Calibri"/>
      <family val="2"/>
      <scheme val="minor"/>
    </font>
    <font>
      <sz val="8"/>
      <name val="Calibri"/>
      <family val="2"/>
      <scheme val="minor"/>
    </font>
  </fonts>
  <fills count="15">
    <fill>
      <patternFill patternType="none"/>
    </fill>
    <fill>
      <patternFill patternType="gray125"/>
    </fill>
    <fill>
      <patternFill patternType="solid">
        <fgColor theme="9" tint="-0.249977111117893"/>
        <bgColor indexed="64"/>
      </patternFill>
    </fill>
    <fill>
      <patternFill patternType="solid">
        <fgColor rgb="FFFF0000"/>
        <bgColor indexed="64"/>
      </patternFill>
    </fill>
    <fill>
      <patternFill patternType="solid">
        <fgColor rgb="FFFFFF00"/>
        <bgColor indexed="64"/>
      </patternFill>
    </fill>
    <fill>
      <patternFill patternType="solid">
        <fgColor rgb="FF0DB14B"/>
        <bgColor indexed="64"/>
      </patternFill>
    </fill>
    <fill>
      <patternFill patternType="solid">
        <fgColor theme="7"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499984740745262"/>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8" tint="-0.249977111117893"/>
        <bgColor indexed="64"/>
      </patternFill>
    </fill>
    <fill>
      <patternFill patternType="solid">
        <fgColor rgb="FF0070C0"/>
        <bgColor indexed="64"/>
      </patternFill>
    </fill>
  </fills>
  <borders count="7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48" fillId="0" borderId="0" applyNumberFormat="0" applyFill="0" applyBorder="0" applyAlignment="0" applyProtection="0"/>
  </cellStyleXfs>
  <cellXfs count="946">
    <xf numFmtId="0" fontId="0" fillId="0" borderId="0" xfId="0"/>
    <xf numFmtId="44" fontId="0" fillId="0" borderId="0" xfId="0" applyNumberFormat="1"/>
    <xf numFmtId="0" fontId="3" fillId="0" borderId="0" xfId="0" applyFont="1"/>
    <xf numFmtId="2" fontId="0" fillId="0" borderId="0" xfId="0" applyNumberFormat="1"/>
    <xf numFmtId="0" fontId="3" fillId="0" borderId="0" xfId="0" applyFont="1" applyFill="1" applyBorder="1"/>
    <xf numFmtId="0" fontId="0" fillId="0" borderId="0" xfId="0"/>
    <xf numFmtId="0" fontId="0" fillId="0" borderId="0" xfId="0"/>
    <xf numFmtId="0" fontId="3" fillId="0" borderId="0" xfId="0" applyFont="1"/>
    <xf numFmtId="2" fontId="0" fillId="0" borderId="0" xfId="0" applyNumberFormat="1"/>
    <xf numFmtId="0" fontId="0" fillId="0" borderId="0" xfId="0" applyAlignment="1">
      <alignment horizontal="center"/>
    </xf>
    <xf numFmtId="49" fontId="0" fillId="0" borderId="0" xfId="0" applyNumberFormat="1" applyAlignment="1">
      <alignment horizontal="center"/>
    </xf>
    <xf numFmtId="0" fontId="0" fillId="0" borderId="0" xfId="0"/>
    <xf numFmtId="0" fontId="3" fillId="0" borderId="0" xfId="0" applyFont="1"/>
    <xf numFmtId="2" fontId="0" fillId="0" borderId="0" xfId="0" applyNumberFormat="1"/>
    <xf numFmtId="0" fontId="0" fillId="0" borderId="0" xfId="0"/>
    <xf numFmtId="0" fontId="0" fillId="0" borderId="0" xfId="0" applyFill="1"/>
    <xf numFmtId="0" fontId="0" fillId="0" borderId="0" xfId="0" applyAlignment="1">
      <alignment horizontal="center"/>
    </xf>
    <xf numFmtId="0" fontId="0" fillId="0" borderId="0" xfId="0" applyFill="1" applyBorder="1" applyProtection="1">
      <protection locked="0"/>
    </xf>
    <xf numFmtId="0" fontId="0" fillId="0" borderId="0" xfId="0" applyFill="1" applyProtection="1">
      <protection locked="0"/>
    </xf>
    <xf numFmtId="0" fontId="0" fillId="0" borderId="0" xfId="0" applyFill="1" applyBorder="1" applyProtection="1"/>
    <xf numFmtId="0" fontId="0" fillId="0" borderId="5" xfId="0" applyFill="1" applyBorder="1" applyProtection="1"/>
    <xf numFmtId="0" fontId="10" fillId="0" borderId="0" xfId="0" applyFont="1" applyFill="1" applyBorder="1" applyAlignment="1" applyProtection="1">
      <alignment horizontal="center"/>
    </xf>
    <xf numFmtId="0" fontId="0" fillId="0" borderId="0" xfId="0" applyProtection="1">
      <protection locked="0"/>
    </xf>
    <xf numFmtId="0" fontId="5" fillId="0" borderId="0" xfId="0" applyFont="1" applyProtection="1">
      <protection locked="0"/>
    </xf>
    <xf numFmtId="0" fontId="26" fillId="0" borderId="0" xfId="0" applyFont="1" applyProtection="1">
      <protection locked="0"/>
    </xf>
    <xf numFmtId="0" fontId="9"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horizontal="center"/>
      <protection locked="0"/>
    </xf>
    <xf numFmtId="0" fontId="14" fillId="0" borderId="0" xfId="0" applyFont="1" applyFill="1" applyBorder="1" applyAlignment="1" applyProtection="1">
      <alignment horizontal="center"/>
      <protection locked="0"/>
    </xf>
    <xf numFmtId="0" fontId="14" fillId="0" borderId="0" xfId="0" applyFont="1" applyFill="1" applyBorder="1" applyAlignment="1" applyProtection="1">
      <alignment horizontal="right"/>
      <protection locked="0"/>
    </xf>
    <xf numFmtId="44" fontId="3" fillId="0" borderId="0" xfId="1" applyFont="1" applyFill="1" applyBorder="1" applyAlignment="1" applyProtection="1">
      <alignment horizontal="center"/>
      <protection locked="0"/>
    </xf>
    <xf numFmtId="44" fontId="3" fillId="0" borderId="5" xfId="1" applyFont="1" applyFill="1" applyBorder="1" applyAlignment="1" applyProtection="1">
      <alignment horizontal="right"/>
      <protection locked="0"/>
    </xf>
    <xf numFmtId="44" fontId="3" fillId="0" borderId="0" xfId="1" applyFont="1" applyFill="1" applyBorder="1" applyAlignment="1" applyProtection="1">
      <alignment horizontal="right"/>
      <protection locked="0"/>
    </xf>
    <xf numFmtId="0" fontId="3" fillId="0" borderId="0" xfId="0" applyFont="1" applyFill="1" applyBorder="1" applyAlignment="1" applyProtection="1">
      <alignment horizontal="right"/>
      <protection locked="0"/>
    </xf>
    <xf numFmtId="0" fontId="3" fillId="0" borderId="0" xfId="0" applyFont="1" applyFill="1" applyBorder="1" applyAlignment="1" applyProtection="1">
      <alignment horizontal="center"/>
      <protection locked="0"/>
    </xf>
    <xf numFmtId="0" fontId="0" fillId="0" borderId="0" xfId="0" applyAlignment="1" applyProtection="1">
      <alignment horizontal="center"/>
      <protection locked="0"/>
    </xf>
    <xf numFmtId="0" fontId="3" fillId="0" borderId="4" xfId="0" applyFont="1" applyFill="1" applyBorder="1" applyProtection="1"/>
    <xf numFmtId="0" fontId="3" fillId="0" borderId="0" xfId="0" applyFont="1" applyFill="1" applyBorder="1" applyAlignment="1" applyProtection="1">
      <alignment horizontal="left"/>
    </xf>
    <xf numFmtId="0" fontId="5" fillId="0" borderId="31" xfId="0" applyFont="1" applyBorder="1" applyAlignment="1" applyProtection="1">
      <alignment horizontal="center"/>
    </xf>
    <xf numFmtId="44" fontId="9" fillId="0" borderId="31" xfId="1" applyFont="1" applyFill="1" applyBorder="1" applyProtection="1"/>
    <xf numFmtId="44" fontId="3" fillId="0" borderId="31" xfId="1" applyFont="1" applyFill="1" applyBorder="1" applyProtection="1"/>
    <xf numFmtId="165" fontId="9" fillId="0" borderId="31" xfId="1" applyNumberFormat="1" applyFont="1" applyFill="1" applyBorder="1" applyAlignment="1" applyProtection="1">
      <alignment horizontal="center"/>
    </xf>
    <xf numFmtId="165" fontId="9" fillId="0" borderId="30" xfId="1" applyNumberFormat="1" applyFont="1" applyFill="1" applyBorder="1" applyAlignment="1" applyProtection="1">
      <alignment horizontal="center"/>
    </xf>
    <xf numFmtId="0" fontId="0" fillId="0" borderId="0" xfId="0" applyProtection="1"/>
    <xf numFmtId="44" fontId="10" fillId="0" borderId="31" xfId="1" applyFont="1" applyFill="1" applyBorder="1" applyAlignment="1" applyProtection="1">
      <alignment horizontal="center"/>
    </xf>
    <xf numFmtId="0" fontId="5" fillId="0" borderId="18" xfId="0" applyFont="1" applyBorder="1" applyAlignment="1" applyProtection="1">
      <alignment horizontal="center"/>
    </xf>
    <xf numFmtId="44" fontId="9" fillId="0" borderId="30" xfId="1" applyFont="1" applyFill="1" applyBorder="1" applyProtection="1"/>
    <xf numFmtId="2" fontId="31" fillId="0" borderId="31" xfId="0" applyNumberFormat="1" applyFont="1" applyFill="1" applyBorder="1" applyAlignment="1" applyProtection="1">
      <alignment horizontal="center"/>
    </xf>
    <xf numFmtId="0" fontId="13" fillId="0" borderId="4" xfId="0" applyFont="1" applyFill="1" applyBorder="1" applyAlignment="1" applyProtection="1">
      <alignment horizontal="left" indent="3"/>
    </xf>
    <xf numFmtId="0" fontId="3" fillId="0" borderId="12" xfId="0" applyFont="1" applyFill="1" applyBorder="1" applyProtection="1"/>
    <xf numFmtId="0" fontId="3" fillId="0" borderId="13" xfId="0" applyFont="1" applyFill="1" applyBorder="1" applyAlignment="1" applyProtection="1">
      <alignment horizontal="left"/>
    </xf>
    <xf numFmtId="0" fontId="0" fillId="0" borderId="6" xfId="0" applyBorder="1" applyProtection="1"/>
    <xf numFmtId="0" fontId="8" fillId="0" borderId="4"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xf>
    <xf numFmtId="0" fontId="12" fillId="0" borderId="4" xfId="0" applyFont="1" applyFill="1" applyBorder="1" applyAlignment="1" applyProtection="1">
      <alignment horizontal="center"/>
    </xf>
    <xf numFmtId="0" fontId="12" fillId="0" borderId="0" xfId="0" applyFont="1" applyFill="1" applyBorder="1" applyAlignment="1" applyProtection="1">
      <alignment horizontal="center"/>
    </xf>
    <xf numFmtId="44" fontId="3" fillId="0" borderId="0" xfId="1" applyFont="1" applyFill="1" applyBorder="1" applyAlignment="1" applyProtection="1">
      <alignment horizontal="center"/>
    </xf>
    <xf numFmtId="44" fontId="12" fillId="0" borderId="0" xfId="1" applyFont="1" applyFill="1" applyBorder="1" applyAlignment="1" applyProtection="1">
      <alignment horizontal="right"/>
    </xf>
    <xf numFmtId="0" fontId="3" fillId="0" borderId="0" xfId="1" applyNumberFormat="1" applyFont="1" applyFill="1" applyBorder="1" applyAlignment="1" applyProtection="1">
      <alignment horizontal="center"/>
    </xf>
    <xf numFmtId="2" fontId="10" fillId="0" borderId="0" xfId="0" applyNumberFormat="1" applyFont="1" applyFill="1" applyBorder="1" applyAlignment="1" applyProtection="1">
      <alignment horizontal="right"/>
    </xf>
    <xf numFmtId="44" fontId="3" fillId="0" borderId="5" xfId="1" applyFont="1" applyFill="1" applyBorder="1" applyAlignment="1" applyProtection="1">
      <alignment horizontal="right"/>
    </xf>
    <xf numFmtId="44" fontId="3" fillId="0" borderId="0" xfId="1" applyFont="1" applyFill="1" applyBorder="1" applyAlignment="1" applyProtection="1">
      <alignment horizontal="right"/>
    </xf>
    <xf numFmtId="0" fontId="12" fillId="0" borderId="4" xfId="0" applyFont="1" applyFill="1" applyBorder="1" applyAlignment="1" applyProtection="1">
      <alignment horizontal="right"/>
    </xf>
    <xf numFmtId="0" fontId="12" fillId="0" borderId="0" xfId="0" applyFont="1" applyFill="1" applyBorder="1" applyAlignment="1" applyProtection="1">
      <alignment horizontal="right"/>
    </xf>
    <xf numFmtId="0" fontId="3" fillId="0" borderId="0" xfId="0" applyFont="1" applyFill="1" applyBorder="1" applyAlignment="1" applyProtection="1">
      <alignment horizontal="right"/>
    </xf>
    <xf numFmtId="44" fontId="3" fillId="0" borderId="0" xfId="1" applyNumberFormat="1" applyFont="1" applyFill="1" applyBorder="1" applyAlignment="1" applyProtection="1">
      <alignment horizontal="right"/>
    </xf>
    <xf numFmtId="0" fontId="10" fillId="0" borderId="0" xfId="0" applyFont="1" applyFill="1" applyBorder="1" applyAlignment="1" applyProtection="1">
      <alignment horizontal="right"/>
    </xf>
    <xf numFmtId="2" fontId="10" fillId="0" borderId="0" xfId="1" applyNumberFormat="1" applyFont="1" applyFill="1" applyBorder="1" applyAlignment="1" applyProtection="1">
      <alignment horizontal="right"/>
    </xf>
    <xf numFmtId="44" fontId="32" fillId="0" borderId="0" xfId="1" applyFont="1" applyFill="1" applyBorder="1" applyAlignment="1" applyProtection="1">
      <alignment horizontal="right"/>
    </xf>
    <xf numFmtId="2" fontId="30" fillId="0" borderId="0" xfId="0" applyNumberFormat="1" applyFont="1" applyFill="1" applyBorder="1" applyAlignment="1" applyProtection="1">
      <alignment horizontal="right"/>
    </xf>
    <xf numFmtId="1" fontId="9" fillId="0" borderId="4" xfId="0" applyNumberFormat="1" applyFont="1" applyFill="1" applyBorder="1" applyAlignment="1" applyProtection="1">
      <alignment horizontal="center"/>
    </xf>
    <xf numFmtId="1" fontId="9" fillId="0" borderId="0" xfId="0" applyNumberFormat="1" applyFont="1" applyFill="1" applyBorder="1" applyAlignment="1" applyProtection="1">
      <alignment horizontal="center"/>
    </xf>
    <xf numFmtId="0" fontId="3" fillId="0" borderId="0" xfId="0" applyFont="1" applyFill="1" applyBorder="1" applyProtection="1"/>
    <xf numFmtId="0" fontId="3" fillId="0" borderId="0" xfId="0" applyFont="1" applyFill="1" applyBorder="1" applyAlignment="1" applyProtection="1">
      <alignment horizontal="center"/>
    </xf>
    <xf numFmtId="0" fontId="3" fillId="0" borderId="5" xfId="0" applyFont="1" applyFill="1" applyBorder="1" applyProtection="1"/>
    <xf numFmtId="0" fontId="17" fillId="0" borderId="0" xfId="0" applyFont="1" applyFill="1" applyProtection="1">
      <protection locked="0"/>
    </xf>
    <xf numFmtId="0" fontId="3" fillId="0" borderId="0" xfId="0" applyFont="1" applyProtection="1">
      <protection locked="0"/>
    </xf>
    <xf numFmtId="0" fontId="9" fillId="0" borderId="0" xfId="0" applyFont="1" applyFill="1" applyBorder="1" applyAlignment="1" applyProtection="1">
      <alignment horizontal="center"/>
    </xf>
    <xf numFmtId="2" fontId="9" fillId="0" borderId="0" xfId="0" applyNumberFormat="1" applyFont="1" applyFill="1" applyBorder="1" applyAlignment="1" applyProtection="1">
      <alignment horizontal="center"/>
    </xf>
    <xf numFmtId="0" fontId="0" fillId="0" borderId="0" xfId="0" applyBorder="1" applyProtection="1">
      <protection locked="0"/>
    </xf>
    <xf numFmtId="0" fontId="26" fillId="0" borderId="0" xfId="0" applyFont="1" applyBorder="1" applyProtection="1">
      <protection locked="0"/>
    </xf>
    <xf numFmtId="8" fontId="0" fillId="0" borderId="0" xfId="0" applyNumberFormat="1" applyFill="1" applyBorder="1" applyProtection="1">
      <protection locked="0"/>
    </xf>
    <xf numFmtId="0" fontId="0" fillId="0" borderId="0" xfId="0" applyBorder="1" applyProtection="1"/>
    <xf numFmtId="0" fontId="2" fillId="0" borderId="0" xfId="0" applyFont="1" applyFill="1" applyBorder="1" applyProtection="1"/>
    <xf numFmtId="0" fontId="0" fillId="0" borderId="5" xfId="0" applyBorder="1" applyProtection="1"/>
    <xf numFmtId="0" fontId="0" fillId="0" borderId="4" xfId="0" applyBorder="1" applyProtection="1"/>
    <xf numFmtId="8" fontId="0" fillId="0" borderId="0" xfId="0" applyNumberFormat="1" applyFill="1" applyBorder="1" applyProtection="1"/>
    <xf numFmtId="0" fontId="0" fillId="0" borderId="13" xfId="0" applyBorder="1" applyProtection="1"/>
    <xf numFmtId="0" fontId="0" fillId="0" borderId="12" xfId="0" applyBorder="1" applyProtection="1"/>
    <xf numFmtId="0" fontId="26" fillId="0" borderId="0" xfId="0" applyFont="1" applyBorder="1" applyProtection="1"/>
    <xf numFmtId="0" fontId="2" fillId="0" borderId="8" xfId="0" applyFont="1" applyBorder="1" applyAlignment="1" applyProtection="1">
      <alignment horizontal="center"/>
    </xf>
    <xf numFmtId="8" fontId="8" fillId="0" borderId="0" xfId="1" applyNumberFormat="1" applyFont="1" applyFill="1" applyBorder="1" applyAlignment="1" applyProtection="1">
      <alignment horizontal="center"/>
    </xf>
    <xf numFmtId="0" fontId="4" fillId="0" borderId="0" xfId="0" applyFont="1" applyBorder="1" applyAlignment="1" applyProtection="1">
      <alignment horizontal="center"/>
    </xf>
    <xf numFmtId="44" fontId="3" fillId="0" borderId="0" xfId="1" applyFont="1" applyFill="1" applyBorder="1" applyProtection="1"/>
    <xf numFmtId="8" fontId="8" fillId="0" borderId="0" xfId="0" applyNumberFormat="1" applyFont="1" applyBorder="1" applyAlignment="1" applyProtection="1">
      <alignment horizontal="center"/>
    </xf>
    <xf numFmtId="0" fontId="3" fillId="0" borderId="0" xfId="0" applyFont="1" applyProtection="1"/>
    <xf numFmtId="2" fontId="35" fillId="0" borderId="0" xfId="0" applyNumberFormat="1" applyFont="1" applyFill="1" applyBorder="1" applyAlignment="1" applyProtection="1">
      <alignment horizontal="right"/>
      <protection locked="0"/>
    </xf>
    <xf numFmtId="2" fontId="35" fillId="0" borderId="0" xfId="0" applyNumberFormat="1" applyFont="1" applyFill="1" applyBorder="1" applyAlignment="1" applyProtection="1">
      <alignment horizontal="center"/>
      <protection locked="0"/>
    </xf>
    <xf numFmtId="2" fontId="35" fillId="0" borderId="0" xfId="0" applyNumberFormat="1" applyFont="1" applyFill="1" applyBorder="1" applyAlignment="1" applyProtection="1">
      <alignment horizontal="center"/>
    </xf>
    <xf numFmtId="0" fontId="0" fillId="0" borderId="0" xfId="0" applyFill="1" applyBorder="1" applyAlignment="1" applyProtection="1">
      <alignment horizontal="center"/>
    </xf>
    <xf numFmtId="49" fontId="0" fillId="0" borderId="0" xfId="0" applyNumberFormat="1" applyFill="1" applyBorder="1" applyAlignment="1" applyProtection="1">
      <alignment horizontal="center"/>
    </xf>
    <xf numFmtId="49" fontId="2" fillId="0" borderId="0" xfId="0" applyNumberFormat="1" applyFont="1" applyFill="1" applyBorder="1" applyAlignment="1" applyProtection="1">
      <alignment horizontal="center"/>
    </xf>
    <xf numFmtId="2" fontId="0" fillId="0" borderId="0" xfId="0" applyNumberFormat="1" applyFill="1" applyBorder="1" applyAlignment="1" applyProtection="1">
      <alignment horizontal="center"/>
    </xf>
    <xf numFmtId="166" fontId="2" fillId="0" borderId="0" xfId="0" applyNumberFormat="1" applyFont="1" applyFill="1" applyBorder="1" applyAlignment="1" applyProtection="1">
      <alignment horizontal="center"/>
    </xf>
    <xf numFmtId="2" fontId="0" fillId="0" borderId="0" xfId="0" applyNumberFormat="1" applyFill="1" applyBorder="1" applyProtection="1"/>
    <xf numFmtId="166" fontId="0" fillId="0" borderId="0" xfId="0" applyNumberFormat="1" applyFill="1" applyBorder="1" applyProtection="1"/>
    <xf numFmtId="0" fontId="22" fillId="0" borderId="0" xfId="0" applyFont="1" applyFill="1" applyBorder="1" applyProtection="1"/>
    <xf numFmtId="0" fontId="18" fillId="0" borderId="19" xfId="0" applyFont="1" applyFill="1" applyBorder="1" applyAlignment="1" applyProtection="1">
      <alignment horizontal="center"/>
      <protection locked="0"/>
    </xf>
    <xf numFmtId="0" fontId="18" fillId="0" borderId="5" xfId="0" applyFont="1" applyFill="1" applyBorder="1" applyAlignment="1" applyProtection="1">
      <alignment horizontal="center"/>
      <protection locked="0"/>
    </xf>
    <xf numFmtId="0" fontId="15" fillId="0" borderId="0" xfId="0" applyFont="1" applyFill="1" applyBorder="1" applyAlignment="1" applyProtection="1">
      <alignment horizontal="center"/>
      <protection locked="0"/>
    </xf>
    <xf numFmtId="0" fontId="15" fillId="0" borderId="18" xfId="0" applyFont="1" applyFill="1" applyBorder="1" applyAlignment="1" applyProtection="1">
      <alignment horizontal="center"/>
      <protection locked="0"/>
    </xf>
    <xf numFmtId="0" fontId="14" fillId="0" borderId="19" xfId="0" applyFont="1" applyFill="1" applyBorder="1" applyAlignment="1" applyProtection="1">
      <alignment horizontal="center"/>
      <protection locked="0"/>
    </xf>
    <xf numFmtId="0" fontId="6" fillId="0" borderId="18" xfId="0" applyFont="1" applyFill="1" applyBorder="1" applyAlignment="1" applyProtection="1">
      <alignment horizontal="center"/>
      <protection locked="0"/>
    </xf>
    <xf numFmtId="0" fontId="6" fillId="0" borderId="20" xfId="0" applyFont="1" applyFill="1" applyBorder="1" applyAlignment="1" applyProtection="1">
      <alignment horizontal="center"/>
      <protection locked="0"/>
    </xf>
    <xf numFmtId="0" fontId="6" fillId="0" borderId="8" xfId="0" applyFont="1" applyFill="1" applyBorder="1" applyAlignment="1" applyProtection="1">
      <alignment horizontal="center"/>
      <protection locked="0"/>
    </xf>
    <xf numFmtId="0" fontId="15" fillId="0" borderId="21" xfId="0" applyFont="1" applyFill="1" applyBorder="1" applyAlignment="1" applyProtection="1">
      <alignment horizontal="center"/>
      <protection locked="0"/>
    </xf>
    <xf numFmtId="0" fontId="15" fillId="0" borderId="9" xfId="0" applyFont="1" applyFill="1" applyBorder="1" applyAlignment="1" applyProtection="1">
      <alignment horizontal="center"/>
      <protection locked="0"/>
    </xf>
    <xf numFmtId="2" fontId="6" fillId="0" borderId="0" xfId="0" applyNumberFormat="1" applyFont="1" applyFill="1" applyBorder="1" applyAlignment="1" applyProtection="1">
      <alignment horizontal="center"/>
      <protection locked="0"/>
    </xf>
    <xf numFmtId="2" fontId="6" fillId="0" borderId="18" xfId="0" applyNumberFormat="1" applyFont="1" applyFill="1" applyBorder="1" applyAlignment="1" applyProtection="1">
      <alignment horizontal="center"/>
      <protection locked="0"/>
    </xf>
    <xf numFmtId="2" fontId="6" fillId="0" borderId="19" xfId="0" applyNumberFormat="1" applyFont="1" applyFill="1" applyBorder="1" applyAlignment="1" applyProtection="1">
      <alignment horizontal="center"/>
      <protection locked="0"/>
    </xf>
    <xf numFmtId="9" fontId="9" fillId="0" borderId="18" xfId="0" applyNumberFormat="1" applyFont="1" applyFill="1" applyBorder="1" applyAlignment="1" applyProtection="1">
      <alignment horizontal="center"/>
    </xf>
    <xf numFmtId="0" fontId="3" fillId="0" borderId="18" xfId="0" applyFont="1" applyFill="1" applyBorder="1" applyAlignment="1" applyProtection="1">
      <alignment horizontal="center"/>
    </xf>
    <xf numFmtId="2" fontId="9" fillId="0" borderId="19" xfId="0" applyNumberFormat="1" applyFont="1" applyFill="1" applyBorder="1" applyAlignment="1" applyProtection="1">
      <alignment horizontal="center"/>
    </xf>
    <xf numFmtId="2" fontId="9" fillId="0" borderId="5" xfId="0" applyNumberFormat="1" applyFont="1" applyFill="1" applyBorder="1" applyAlignment="1" applyProtection="1">
      <alignment horizontal="center"/>
    </xf>
    <xf numFmtId="2" fontId="9" fillId="0" borderId="18" xfId="0" applyNumberFormat="1" applyFont="1" applyFill="1" applyBorder="1" applyAlignment="1" applyProtection="1">
      <alignment horizontal="center"/>
    </xf>
    <xf numFmtId="0" fontId="9" fillId="0" borderId="4" xfId="0" applyFont="1" applyFill="1" applyBorder="1" applyProtection="1"/>
    <xf numFmtId="0" fontId="24" fillId="0" borderId="0" xfId="0" applyFont="1" applyFill="1" applyBorder="1" applyAlignment="1" applyProtection="1">
      <alignment horizontal="center"/>
    </xf>
    <xf numFmtId="0" fontId="8" fillId="0" borderId="0" xfId="0" applyFont="1" applyFill="1" applyBorder="1" applyAlignment="1" applyProtection="1">
      <alignment horizontal="center"/>
    </xf>
    <xf numFmtId="0" fontId="3" fillId="0" borderId="5" xfId="0" applyFont="1" applyFill="1" applyBorder="1" applyAlignment="1" applyProtection="1">
      <alignment horizontal="center"/>
    </xf>
    <xf numFmtId="0" fontId="9" fillId="0" borderId="4" xfId="0" applyFont="1" applyFill="1" applyBorder="1" applyAlignment="1" applyProtection="1">
      <alignment horizontal="left"/>
    </xf>
    <xf numFmtId="9" fontId="9" fillId="0" borderId="0" xfId="0" applyNumberFormat="1" applyFont="1" applyFill="1" applyBorder="1" applyAlignment="1" applyProtection="1">
      <alignment horizontal="center"/>
    </xf>
    <xf numFmtId="0" fontId="3" fillId="0" borderId="13" xfId="0" applyFont="1" applyFill="1" applyBorder="1" applyProtection="1"/>
    <xf numFmtId="0" fontId="3" fillId="0" borderId="6" xfId="0" applyFont="1" applyFill="1" applyBorder="1" applyProtection="1"/>
    <xf numFmtId="0" fontId="35" fillId="0" borderId="0" xfId="0" applyFont="1" applyFill="1" applyBorder="1" applyAlignment="1" applyProtection="1">
      <alignment horizontal="center"/>
    </xf>
    <xf numFmtId="0" fontId="3" fillId="0" borderId="4" xfId="0" applyFont="1" applyFill="1" applyBorder="1" applyAlignment="1">
      <alignment horizontal="right"/>
    </xf>
    <xf numFmtId="0" fontId="9" fillId="0" borderId="7" xfId="0" applyFont="1" applyFill="1" applyBorder="1" applyAlignment="1" applyProtection="1">
      <alignment horizontal="center" vertical="center"/>
    </xf>
    <xf numFmtId="0" fontId="9" fillId="0" borderId="8" xfId="0" applyFont="1" applyFill="1" applyBorder="1" applyAlignment="1" applyProtection="1">
      <alignment horizontal="center" vertical="center" wrapText="1"/>
    </xf>
    <xf numFmtId="0" fontId="9" fillId="0" borderId="8" xfId="0" applyFont="1" applyFill="1" applyBorder="1" applyAlignment="1" applyProtection="1">
      <alignment horizontal="center" vertical="center"/>
    </xf>
    <xf numFmtId="0" fontId="9" fillId="0" borderId="9"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11" fillId="0" borderId="4" xfId="0" applyFont="1" applyFill="1" applyBorder="1" applyAlignment="1" applyProtection="1">
      <alignment horizontal="center"/>
    </xf>
    <xf numFmtId="0" fontId="11" fillId="0" borderId="0" xfId="0" applyFont="1" applyFill="1" applyBorder="1" applyAlignment="1" applyProtection="1">
      <alignment horizontal="center"/>
    </xf>
    <xf numFmtId="2" fontId="30" fillId="0" borderId="0" xfId="0" applyNumberFormat="1" applyFont="1" applyFill="1" applyBorder="1" applyAlignment="1" applyProtection="1">
      <alignment horizontal="center"/>
    </xf>
    <xf numFmtId="0" fontId="3" fillId="0" borderId="5" xfId="0" applyFont="1" applyFill="1" applyBorder="1" applyAlignment="1" applyProtection="1">
      <alignment horizontal="center" vertical="center"/>
    </xf>
    <xf numFmtId="0" fontId="3" fillId="0" borderId="0" xfId="0" applyFont="1" applyFill="1" applyBorder="1" applyAlignment="1" applyProtection="1">
      <alignment horizontal="center" vertical="center"/>
      <protection locked="0"/>
    </xf>
    <xf numFmtId="2" fontId="10" fillId="0" borderId="0" xfId="0" applyNumberFormat="1" applyFont="1" applyFill="1" applyBorder="1" applyAlignment="1" applyProtection="1">
      <alignment horizontal="center"/>
      <protection locked="0"/>
    </xf>
    <xf numFmtId="44" fontId="30" fillId="0" borderId="0" xfId="1" applyNumberFormat="1" applyFont="1" applyFill="1" applyBorder="1" applyAlignment="1" applyProtection="1">
      <alignment horizontal="right"/>
    </xf>
    <xf numFmtId="2" fontId="30" fillId="0" borderId="0" xfId="1" applyNumberFormat="1" applyFont="1" applyFill="1" applyBorder="1" applyAlignment="1" applyProtection="1">
      <alignment horizontal="right"/>
    </xf>
    <xf numFmtId="0" fontId="24" fillId="0" borderId="0" xfId="0" applyFont="1" applyFill="1" applyBorder="1" applyAlignment="1" applyProtection="1">
      <alignment horizontal="right"/>
    </xf>
    <xf numFmtId="0" fontId="11" fillId="0" borderId="4" xfId="0" applyFont="1" applyFill="1" applyBorder="1" applyAlignment="1" applyProtection="1">
      <alignment horizontal="center"/>
      <protection locked="0"/>
    </xf>
    <xf numFmtId="0" fontId="40" fillId="0" borderId="0" xfId="0" applyFont="1" applyFill="1" applyBorder="1" applyAlignment="1" applyProtection="1">
      <alignment horizontal="center"/>
    </xf>
    <xf numFmtId="44" fontId="9" fillId="0" borderId="0" xfId="0" applyNumberFormat="1" applyFont="1" applyFill="1" applyBorder="1" applyAlignment="1" applyProtection="1">
      <protection locked="0"/>
    </xf>
    <xf numFmtId="0" fontId="3" fillId="0" borderId="9" xfId="0" applyFont="1" applyFill="1" applyBorder="1" applyAlignment="1" applyProtection="1">
      <alignment horizontal="center" vertical="center"/>
    </xf>
    <xf numFmtId="0" fontId="3" fillId="0" borderId="5" xfId="0" applyFont="1" applyFill="1" applyBorder="1" applyAlignment="1" applyProtection="1">
      <alignment horizontal="center" vertical="center"/>
      <protection locked="0"/>
    </xf>
    <xf numFmtId="0" fontId="40" fillId="0" borderId="4" xfId="0" applyFont="1" applyFill="1" applyBorder="1" applyAlignment="1" applyProtection="1">
      <alignment horizontal="center"/>
    </xf>
    <xf numFmtId="44" fontId="9" fillId="0" borderId="0" xfId="0" applyNumberFormat="1" applyFont="1" applyFill="1" applyBorder="1" applyAlignment="1" applyProtection="1"/>
    <xf numFmtId="0" fontId="9" fillId="0" borderId="0" xfId="0" applyFont="1" applyFill="1" applyBorder="1" applyAlignment="1" applyProtection="1">
      <alignment horizontal="left"/>
    </xf>
    <xf numFmtId="0" fontId="41" fillId="0" borderId="0" xfId="0" applyFont="1" applyFill="1" applyBorder="1" applyAlignment="1" applyProtection="1"/>
    <xf numFmtId="0" fontId="41" fillId="0" borderId="0" xfId="0" applyFont="1" applyFill="1" applyBorder="1" applyAlignment="1" applyProtection="1">
      <alignment horizontal="center"/>
    </xf>
    <xf numFmtId="44" fontId="9" fillId="0" borderId="5" xfId="0" applyNumberFormat="1" applyFont="1" applyFill="1" applyBorder="1" applyAlignment="1" applyProtection="1"/>
    <xf numFmtId="0" fontId="3" fillId="0" borderId="13" xfId="0" applyFont="1" applyFill="1" applyBorder="1" applyAlignment="1" applyProtection="1">
      <alignment horizontal="center"/>
    </xf>
    <xf numFmtId="0" fontId="20" fillId="0" borderId="0" xfId="0" applyFont="1" applyFill="1" applyBorder="1" applyAlignment="1" applyProtection="1">
      <alignment horizontal="center"/>
    </xf>
    <xf numFmtId="0" fontId="43" fillId="0" borderId="0" xfId="0" applyFont="1" applyProtection="1"/>
    <xf numFmtId="2" fontId="28" fillId="0" borderId="0" xfId="0" applyNumberFormat="1" applyFont="1" applyFill="1" applyBorder="1" applyAlignment="1" applyProtection="1">
      <alignment horizontal="center"/>
      <protection locked="0"/>
    </xf>
    <xf numFmtId="2" fontId="28" fillId="0" borderId="0" xfId="0" applyNumberFormat="1" applyFont="1" applyFill="1" applyBorder="1" applyAlignment="1" applyProtection="1">
      <alignment horizontal="center"/>
    </xf>
    <xf numFmtId="0" fontId="13" fillId="0" borderId="0" xfId="0" applyFont="1" applyFill="1" applyBorder="1" applyAlignment="1" applyProtection="1">
      <alignment horizontal="right"/>
      <protection locked="0"/>
    </xf>
    <xf numFmtId="0" fontId="43" fillId="0" borderId="0" xfId="0" applyFont="1" applyFill="1" applyProtection="1"/>
    <xf numFmtId="0" fontId="9" fillId="0" borderId="4" xfId="0" applyFont="1" applyFill="1" applyBorder="1" applyAlignment="1" applyProtection="1"/>
    <xf numFmtId="0" fontId="21" fillId="0" borderId="0" xfId="0" applyFont="1" applyFill="1" applyBorder="1" applyAlignment="1" applyProtection="1">
      <alignment horizontal="center" vertical="center"/>
    </xf>
    <xf numFmtId="0" fontId="13" fillId="0" borderId="0" xfId="0" applyFont="1" applyAlignment="1" applyProtection="1">
      <alignment horizontal="left" indent="3"/>
      <protection locked="0"/>
    </xf>
    <xf numFmtId="0" fontId="9" fillId="0" borderId="0" xfId="0" applyFont="1" applyFill="1" applyBorder="1" applyAlignment="1" applyProtection="1">
      <alignment horizontal="center"/>
    </xf>
    <xf numFmtId="0" fontId="9" fillId="0" borderId="5" xfId="0" applyFont="1" applyFill="1" applyBorder="1" applyAlignment="1" applyProtection="1">
      <alignment horizontal="center"/>
    </xf>
    <xf numFmtId="0" fontId="5" fillId="0" borderId="0" xfId="0" applyFont="1" applyBorder="1" applyAlignment="1" applyProtection="1">
      <alignment horizontal="center"/>
      <protection locked="0"/>
    </xf>
    <xf numFmtId="0" fontId="5" fillId="0" borderId="0" xfId="0" applyFont="1" applyBorder="1" applyAlignment="1" applyProtection="1">
      <alignment horizontal="center"/>
    </xf>
    <xf numFmtId="0" fontId="5" fillId="0" borderId="38" xfId="0" applyFont="1" applyBorder="1" applyAlignment="1" applyProtection="1">
      <alignment horizontal="center"/>
    </xf>
    <xf numFmtId="44" fontId="9" fillId="0" borderId="38" xfId="1" applyFont="1" applyFill="1" applyBorder="1" applyProtection="1"/>
    <xf numFmtId="44" fontId="9" fillId="0" borderId="45" xfId="1" applyFont="1" applyFill="1" applyBorder="1" applyProtection="1"/>
    <xf numFmtId="0" fontId="21" fillId="0" borderId="0" xfId="0" applyFont="1" applyFill="1" applyBorder="1" applyAlignment="1" applyProtection="1"/>
    <xf numFmtId="0" fontId="0" fillId="0" borderId="0" xfId="0" applyBorder="1" applyAlignment="1" applyProtection="1">
      <alignment horizontal="center"/>
    </xf>
    <xf numFmtId="0" fontId="29" fillId="0" borderId="0" xfId="0" applyFont="1" applyFill="1" applyBorder="1" applyAlignment="1" applyProtection="1"/>
    <xf numFmtId="0" fontId="29" fillId="0" borderId="0" xfId="0" applyFont="1" applyAlignment="1"/>
    <xf numFmtId="2" fontId="31" fillId="0" borderId="0" xfId="0" applyNumberFormat="1" applyFont="1" applyFill="1" applyBorder="1" applyAlignment="1" applyProtection="1">
      <alignment horizontal="center"/>
    </xf>
    <xf numFmtId="0" fontId="5" fillId="0" borderId="19" xfId="0" applyFont="1" applyBorder="1" applyAlignment="1" applyProtection="1">
      <alignment horizontal="center"/>
      <protection locked="0"/>
    </xf>
    <xf numFmtId="0" fontId="6" fillId="0" borderId="0" xfId="0" applyFont="1" applyFill="1" applyBorder="1" applyAlignment="1" applyProtection="1">
      <alignment horizontal="left"/>
    </xf>
    <xf numFmtId="0" fontId="9" fillId="0" borderId="0" xfId="0" applyFont="1" applyFill="1" applyBorder="1" applyAlignment="1" applyProtection="1"/>
    <xf numFmtId="0" fontId="29" fillId="0" borderId="0" xfId="0" applyFont="1" applyFill="1" applyBorder="1" applyAlignment="1" applyProtection="1">
      <alignment horizontal="left"/>
    </xf>
    <xf numFmtId="0" fontId="3" fillId="0" borderId="19" xfId="0" applyFont="1" applyFill="1" applyBorder="1" applyAlignment="1" applyProtection="1">
      <alignment horizontal="left"/>
    </xf>
    <xf numFmtId="0" fontId="9" fillId="0" borderId="46" xfId="0" applyFont="1" applyFill="1" applyBorder="1" applyAlignment="1" applyProtection="1">
      <alignment horizontal="center"/>
    </xf>
    <xf numFmtId="0" fontId="6" fillId="0" borderId="46" xfId="0" applyFont="1" applyFill="1" applyBorder="1" applyAlignment="1" applyProtection="1">
      <alignment horizontal="left"/>
    </xf>
    <xf numFmtId="0" fontId="7" fillId="0" borderId="43" xfId="0" applyFont="1" applyFill="1" applyBorder="1" applyAlignment="1" applyProtection="1">
      <alignment horizontal="center"/>
    </xf>
    <xf numFmtId="0" fontId="29" fillId="0" borderId="19" xfId="0" applyFont="1" applyFill="1" applyBorder="1" applyAlignment="1" applyProtection="1">
      <alignment horizontal="left"/>
    </xf>
    <xf numFmtId="0" fontId="23" fillId="5" borderId="12" xfId="0" applyFont="1" applyFill="1" applyBorder="1" applyAlignment="1"/>
    <xf numFmtId="0" fontId="23" fillId="5" borderId="13" xfId="0" applyFont="1" applyFill="1" applyBorder="1" applyAlignment="1"/>
    <xf numFmtId="0" fontId="23" fillId="5" borderId="6" xfId="0" applyFont="1" applyFill="1" applyBorder="1" applyAlignment="1"/>
    <xf numFmtId="0" fontId="14" fillId="0" borderId="0" xfId="0" applyFont="1" applyFill="1" applyAlignment="1" applyProtection="1">
      <protection locked="0"/>
    </xf>
    <xf numFmtId="0" fontId="14" fillId="0" borderId="0" xfId="0" applyFont="1" applyFill="1" applyBorder="1" applyAlignment="1" applyProtection="1">
      <protection locked="0"/>
    </xf>
    <xf numFmtId="0" fontId="36" fillId="2" borderId="0" xfId="0" applyFont="1" applyFill="1" applyBorder="1" applyAlignment="1" applyProtection="1"/>
    <xf numFmtId="0" fontId="36" fillId="2" borderId="5" xfId="0" applyFont="1" applyFill="1" applyBorder="1" applyAlignment="1" applyProtection="1"/>
    <xf numFmtId="0" fontId="36" fillId="2" borderId="13" xfId="0" applyFont="1" applyFill="1" applyBorder="1" applyAlignment="1" applyProtection="1"/>
    <xf numFmtId="0" fontId="36" fillId="2" borderId="6" xfId="0" applyFont="1" applyFill="1" applyBorder="1" applyAlignment="1" applyProtection="1"/>
    <xf numFmtId="0" fontId="16" fillId="0" borderId="1" xfId="0" applyFont="1" applyFill="1" applyBorder="1" applyAlignment="1" applyProtection="1"/>
    <xf numFmtId="0" fontId="16" fillId="0" borderId="2" xfId="0" applyFont="1" applyFill="1" applyBorder="1" applyAlignment="1" applyProtection="1"/>
    <xf numFmtId="0" fontId="14" fillId="0" borderId="2" xfId="0" applyFont="1" applyFill="1" applyBorder="1" applyAlignment="1" applyProtection="1"/>
    <xf numFmtId="0" fontId="14" fillId="0" borderId="3" xfId="0" applyFont="1" applyFill="1" applyBorder="1" applyAlignment="1" applyProtection="1"/>
    <xf numFmtId="0" fontId="14" fillId="0" borderId="0" xfId="0" applyFont="1" applyFill="1" applyBorder="1" applyAlignment="1" applyProtection="1"/>
    <xf numFmtId="0" fontId="14" fillId="0" borderId="18" xfId="0" applyFont="1" applyFill="1" applyBorder="1" applyAlignment="1" applyProtection="1"/>
    <xf numFmtId="0" fontId="14" fillId="0" borderId="19" xfId="0" applyFont="1" applyFill="1" applyBorder="1" applyAlignment="1" applyProtection="1"/>
    <xf numFmtId="0" fontId="14" fillId="0" borderId="5" xfId="0" applyFont="1" applyFill="1" applyBorder="1" applyAlignment="1" applyProtection="1"/>
    <xf numFmtId="0" fontId="6" fillId="0" borderId="31" xfId="0" applyFont="1" applyFill="1" applyBorder="1" applyAlignment="1" applyProtection="1"/>
    <xf numFmtId="0" fontId="24" fillId="0" borderId="31" xfId="0" applyFont="1" applyFill="1" applyBorder="1" applyAlignment="1" applyProtection="1"/>
    <xf numFmtId="0" fontId="24" fillId="0" borderId="5" xfId="0" applyFont="1" applyFill="1" applyBorder="1" applyAlignment="1" applyProtection="1"/>
    <xf numFmtId="0" fontId="18" fillId="0" borderId="19" xfId="0" applyFont="1" applyFill="1" applyBorder="1" applyAlignment="1" applyProtection="1"/>
    <xf numFmtId="0" fontId="18" fillId="0" borderId="5" xfId="0" applyFont="1" applyFill="1" applyBorder="1" applyAlignment="1" applyProtection="1"/>
    <xf numFmtId="0" fontId="35" fillId="0" borderId="19" xfId="0" applyFont="1" applyFill="1" applyBorder="1" applyAlignment="1" applyProtection="1"/>
    <xf numFmtId="0" fontId="35" fillId="0" borderId="0" xfId="0" applyFont="1" applyFill="1" applyBorder="1" applyAlignment="1" applyProtection="1"/>
    <xf numFmtId="0" fontId="3" fillId="0" borderId="46" xfId="0" applyFont="1" applyFill="1" applyBorder="1" applyAlignment="1" applyProtection="1"/>
    <xf numFmtId="0" fontId="3" fillId="0" borderId="0" xfId="0" applyFont="1" applyFill="1" applyBorder="1" applyAlignment="1" applyProtection="1"/>
    <xf numFmtId="44" fontId="15" fillId="0" borderId="0" xfId="1" applyFont="1" applyFill="1" applyBorder="1" applyAlignment="1" applyProtection="1">
      <protection locked="0"/>
    </xf>
    <xf numFmtId="0" fontId="18" fillId="0" borderId="19" xfId="0" applyFont="1" applyFill="1" applyBorder="1" applyAlignment="1" applyProtection="1">
      <protection locked="0"/>
    </xf>
    <xf numFmtId="44" fontId="15" fillId="0" borderId="18" xfId="1" applyFont="1" applyFill="1" applyBorder="1" applyAlignment="1" applyProtection="1">
      <protection locked="0"/>
    </xf>
    <xf numFmtId="0" fontId="18" fillId="0" borderId="5" xfId="0" applyFont="1" applyFill="1" applyBorder="1" applyAlignment="1" applyProtection="1">
      <protection locked="0"/>
    </xf>
    <xf numFmtId="164" fontId="14" fillId="0" borderId="5" xfId="0" applyNumberFormat="1" applyFont="1" applyFill="1" applyBorder="1" applyAlignment="1" applyProtection="1">
      <protection locked="0"/>
    </xf>
    <xf numFmtId="164" fontId="14" fillId="0" borderId="41" xfId="1" applyNumberFormat="1" applyFont="1" applyFill="1" applyBorder="1" applyAlignment="1" applyProtection="1">
      <protection locked="0"/>
    </xf>
    <xf numFmtId="164" fontId="18" fillId="0" borderId="28" xfId="0" applyNumberFormat="1" applyFont="1" applyFill="1" applyBorder="1" applyAlignment="1" applyProtection="1">
      <protection locked="0"/>
    </xf>
    <xf numFmtId="164" fontId="14" fillId="0" borderId="28" xfId="1" applyNumberFormat="1" applyFont="1" applyFill="1" applyBorder="1" applyAlignment="1" applyProtection="1">
      <protection locked="0"/>
    </xf>
    <xf numFmtId="164" fontId="18" fillId="0" borderId="29" xfId="0" applyNumberFormat="1" applyFont="1" applyFill="1" applyBorder="1" applyAlignment="1" applyProtection="1">
      <protection locked="0"/>
    </xf>
    <xf numFmtId="0" fontId="3" fillId="0" borderId="18" xfId="0" applyFont="1" applyFill="1" applyBorder="1" applyAlignment="1" applyProtection="1"/>
    <xf numFmtId="0" fontId="14" fillId="0" borderId="18" xfId="0" applyFont="1" applyFill="1" applyBorder="1" applyAlignment="1" applyProtection="1">
      <protection locked="0"/>
    </xf>
    <xf numFmtId="0" fontId="6" fillId="0" borderId="0" xfId="0" applyFont="1" applyFill="1" applyBorder="1" applyAlignment="1" applyProtection="1"/>
    <xf numFmtId="44" fontId="37" fillId="0" borderId="0" xfId="0" applyNumberFormat="1" applyFont="1" applyFill="1" applyBorder="1" applyAlignment="1" applyProtection="1">
      <protection locked="0"/>
    </xf>
    <xf numFmtId="44" fontId="37" fillId="0" borderId="18" xfId="0" applyNumberFormat="1" applyFont="1" applyFill="1" applyBorder="1" applyAlignment="1" applyProtection="1">
      <protection locked="0"/>
    </xf>
    <xf numFmtId="0" fontId="3" fillId="0" borderId="19" xfId="0" applyFont="1" applyFill="1" applyBorder="1" applyAlignment="1" applyProtection="1"/>
    <xf numFmtId="44" fontId="14" fillId="0" borderId="42" xfId="1" applyNumberFormat="1" applyFont="1" applyFill="1" applyBorder="1" applyAlignment="1" applyProtection="1">
      <protection locked="0"/>
    </xf>
    <xf numFmtId="164" fontId="18" fillId="0" borderId="32" xfId="0" applyNumberFormat="1" applyFont="1" applyFill="1" applyBorder="1" applyAlignment="1" applyProtection="1">
      <protection locked="0"/>
    </xf>
    <xf numFmtId="44" fontId="14" fillId="0" borderId="32" xfId="1" applyNumberFormat="1" applyFont="1" applyFill="1" applyBorder="1" applyAlignment="1" applyProtection="1">
      <protection locked="0"/>
    </xf>
    <xf numFmtId="164" fontId="18" fillId="0" borderId="34" xfId="0" applyNumberFormat="1" applyFont="1" applyFill="1" applyBorder="1" applyAlignment="1" applyProtection="1">
      <protection locked="0"/>
    </xf>
    <xf numFmtId="164" fontId="14" fillId="0" borderId="0" xfId="0" applyNumberFormat="1" applyFont="1" applyFill="1" applyBorder="1" applyAlignment="1" applyProtection="1">
      <protection locked="0"/>
    </xf>
    <xf numFmtId="44" fontId="14" fillId="0" borderId="19" xfId="1" applyNumberFormat="1" applyFont="1" applyFill="1" applyBorder="1" applyAlignment="1" applyProtection="1">
      <protection locked="0"/>
    </xf>
    <xf numFmtId="164" fontId="18" fillId="0" borderId="31" xfId="0" applyNumberFormat="1" applyFont="1" applyFill="1" applyBorder="1" applyAlignment="1" applyProtection="1">
      <protection locked="0"/>
    </xf>
    <xf numFmtId="44" fontId="14" fillId="0" borderId="31" xfId="1" applyNumberFormat="1" applyFont="1" applyFill="1" applyBorder="1" applyAlignment="1" applyProtection="1">
      <protection locked="0"/>
    </xf>
    <xf numFmtId="164" fontId="18" fillId="0" borderId="30" xfId="0" applyNumberFormat="1" applyFont="1" applyFill="1" applyBorder="1" applyAlignment="1" applyProtection="1">
      <protection locked="0"/>
    </xf>
    <xf numFmtId="44" fontId="18" fillId="0" borderId="19" xfId="0" applyNumberFormat="1" applyFont="1" applyFill="1" applyBorder="1" applyAlignment="1" applyProtection="1">
      <protection locked="0"/>
    </xf>
    <xf numFmtId="44" fontId="18" fillId="0" borderId="31" xfId="0" applyNumberFormat="1" applyFont="1" applyFill="1" applyBorder="1" applyAlignment="1" applyProtection="1">
      <protection locked="0"/>
    </xf>
    <xf numFmtId="0" fontId="13" fillId="0" borderId="19" xfId="0" applyFont="1" applyFill="1" applyBorder="1" applyAlignment="1" applyProtection="1">
      <alignment horizontal="left"/>
    </xf>
    <xf numFmtId="0" fontId="13" fillId="0" borderId="19" xfId="0" applyFont="1" applyBorder="1" applyAlignment="1" applyProtection="1">
      <alignment horizontal="left"/>
      <protection locked="0"/>
    </xf>
    <xf numFmtId="44" fontId="14" fillId="0" borderId="0" xfId="1" applyNumberFormat="1" applyFont="1" applyFill="1" applyBorder="1" applyAlignment="1" applyProtection="1">
      <protection locked="0"/>
    </xf>
    <xf numFmtId="164" fontId="18" fillId="0" borderId="0" xfId="0" applyNumberFormat="1" applyFont="1" applyFill="1" applyBorder="1" applyAlignment="1" applyProtection="1">
      <protection locked="0"/>
    </xf>
    <xf numFmtId="164" fontId="18" fillId="0" borderId="5" xfId="0" applyNumberFormat="1" applyFont="1" applyFill="1" applyBorder="1" applyAlignment="1" applyProtection="1">
      <protection locked="0"/>
    </xf>
    <xf numFmtId="44" fontId="18" fillId="0" borderId="19" xfId="1" applyNumberFormat="1" applyFont="1" applyFill="1" applyBorder="1" applyAlignment="1" applyProtection="1">
      <protection locked="0"/>
    </xf>
    <xf numFmtId="44" fontId="18" fillId="0" borderId="31" xfId="1" applyNumberFormat="1" applyFont="1" applyFill="1" applyBorder="1" applyAlignment="1" applyProtection="1">
      <protection locked="0"/>
    </xf>
    <xf numFmtId="0" fontId="18" fillId="0" borderId="0" xfId="0" applyFont="1" applyFill="1" applyBorder="1" applyAlignment="1" applyProtection="1">
      <protection locked="0"/>
    </xf>
    <xf numFmtId="164" fontId="11" fillId="0" borderId="5" xfId="0" applyNumberFormat="1" applyFont="1" applyFill="1" applyBorder="1" applyAlignment="1" applyProtection="1"/>
    <xf numFmtId="0" fontId="3" fillId="0" borderId="4" xfId="0" applyFont="1" applyFill="1" applyBorder="1" applyAlignment="1" applyProtection="1"/>
    <xf numFmtId="0" fontId="3" fillId="0" borderId="5" xfId="0" applyFont="1" applyFill="1" applyBorder="1" applyAlignment="1" applyProtection="1"/>
    <xf numFmtId="0" fontId="9" fillId="0" borderId="4" xfId="0" applyFont="1" applyFill="1" applyBorder="1" applyAlignment="1" applyProtection="1">
      <protection locked="0"/>
    </xf>
    <xf numFmtId="0" fontId="9" fillId="0" borderId="0" xfId="0" applyFont="1" applyFill="1" applyBorder="1" applyAlignment="1" applyProtection="1">
      <protection locked="0"/>
    </xf>
    <xf numFmtId="0" fontId="14" fillId="0" borderId="19" xfId="0" applyFont="1" applyFill="1" applyBorder="1" applyAlignment="1" applyProtection="1">
      <protection locked="0"/>
    </xf>
    <xf numFmtId="0" fontId="14" fillId="0" borderId="5" xfId="0" applyFont="1" applyFill="1" applyBorder="1" applyAlignment="1" applyProtection="1">
      <protection locked="0"/>
    </xf>
    <xf numFmtId="8" fontId="24" fillId="0" borderId="0" xfId="0" applyNumberFormat="1" applyFont="1" applyFill="1" applyBorder="1" applyAlignment="1" applyProtection="1">
      <alignment horizontal="center"/>
    </xf>
    <xf numFmtId="8" fontId="24" fillId="0" borderId="19" xfId="0" applyNumberFormat="1" applyFont="1" applyFill="1" applyBorder="1" applyAlignment="1" applyProtection="1">
      <alignment horizontal="center"/>
    </xf>
    <xf numFmtId="8" fontId="3" fillId="0" borderId="0" xfId="0" applyNumberFormat="1" applyFont="1" applyFill="1" applyBorder="1" applyAlignment="1" applyProtection="1">
      <alignment horizontal="center"/>
    </xf>
    <xf numFmtId="8" fontId="8" fillId="0" borderId="0" xfId="0" applyNumberFormat="1" applyFont="1" applyFill="1" applyBorder="1" applyAlignment="1" applyProtection="1">
      <alignment horizontal="center"/>
    </xf>
    <xf numFmtId="8" fontId="9" fillId="0" borderId="20" xfId="0" applyNumberFormat="1" applyFont="1" applyFill="1" applyBorder="1" applyAlignment="1" applyProtection="1">
      <alignment horizontal="center"/>
    </xf>
    <xf numFmtId="8" fontId="9" fillId="0" borderId="8" xfId="0" applyNumberFormat="1" applyFont="1" applyFill="1" applyBorder="1" applyAlignment="1" applyProtection="1">
      <alignment horizontal="center"/>
    </xf>
    <xf numFmtId="8" fontId="8" fillId="0" borderId="21" xfId="0" applyNumberFormat="1" applyFont="1" applyFill="1" applyBorder="1" applyAlignment="1" applyProtection="1">
      <alignment horizontal="center"/>
    </xf>
    <xf numFmtId="8" fontId="8" fillId="0" borderId="9" xfId="0" applyNumberFormat="1" applyFont="1" applyFill="1" applyBorder="1" applyAlignment="1" applyProtection="1">
      <alignment horizontal="center"/>
    </xf>
    <xf numFmtId="8" fontId="3" fillId="0" borderId="18" xfId="0" applyNumberFormat="1" applyFont="1" applyFill="1" applyBorder="1" applyAlignment="1" applyProtection="1">
      <alignment horizontal="center"/>
    </xf>
    <xf numFmtId="8" fontId="3" fillId="0" borderId="31" xfId="1" applyNumberFormat="1" applyFont="1" applyFill="1" applyBorder="1" applyAlignment="1" applyProtection="1">
      <alignment horizontal="center"/>
    </xf>
    <xf numFmtId="8" fontId="38" fillId="0" borderId="0" xfId="0" applyNumberFormat="1" applyFont="1" applyFill="1" applyBorder="1" applyAlignment="1" applyProtection="1">
      <alignment horizontal="center"/>
    </xf>
    <xf numFmtId="8" fontId="38" fillId="0" borderId="40" xfId="0" applyNumberFormat="1" applyFont="1" applyFill="1" applyBorder="1" applyAlignment="1" applyProtection="1">
      <alignment horizontal="center"/>
    </xf>
    <xf numFmtId="8" fontId="34" fillId="0" borderId="0" xfId="0" applyNumberFormat="1" applyFont="1" applyFill="1" applyBorder="1" applyAlignment="1" applyProtection="1">
      <alignment horizontal="center"/>
    </xf>
    <xf numFmtId="8" fontId="11" fillId="0" borderId="0" xfId="0" applyNumberFormat="1" applyFont="1" applyFill="1" applyBorder="1" applyAlignment="1" applyProtection="1">
      <alignment horizontal="center"/>
    </xf>
    <xf numFmtId="8" fontId="29" fillId="0" borderId="52" xfId="0" applyNumberFormat="1" applyFont="1" applyFill="1" applyBorder="1" applyAlignment="1" applyProtection="1">
      <alignment horizontal="center"/>
    </xf>
    <xf numFmtId="8" fontId="29" fillId="0" borderId="53" xfId="0" applyNumberFormat="1" applyFont="1" applyFill="1" applyBorder="1" applyAlignment="1" applyProtection="1">
      <alignment horizontal="center"/>
    </xf>
    <xf numFmtId="8" fontId="24" fillId="0" borderId="54" xfId="0" applyNumberFormat="1" applyFont="1" applyFill="1" applyBorder="1" applyAlignment="1" applyProtection="1">
      <alignment horizontal="center"/>
    </xf>
    <xf numFmtId="8" fontId="3" fillId="0" borderId="52" xfId="0" applyNumberFormat="1" applyFont="1" applyFill="1" applyBorder="1" applyAlignment="1" applyProtection="1">
      <alignment horizontal="center"/>
    </xf>
    <xf numFmtId="8" fontId="3" fillId="0" borderId="53" xfId="0" applyNumberFormat="1" applyFont="1" applyFill="1" applyBorder="1" applyAlignment="1" applyProtection="1">
      <alignment horizontal="center"/>
    </xf>
    <xf numFmtId="8" fontId="24" fillId="0" borderId="55" xfId="0" applyNumberFormat="1" applyFont="1" applyFill="1" applyBorder="1" applyAlignment="1" applyProtection="1">
      <alignment horizontal="center"/>
    </xf>
    <xf numFmtId="8" fontId="29" fillId="0" borderId="18" xfId="0" applyNumberFormat="1" applyFont="1" applyFill="1" applyBorder="1" applyAlignment="1" applyProtection="1">
      <alignment horizontal="center"/>
    </xf>
    <xf numFmtId="0" fontId="5" fillId="0" borderId="19" xfId="0" applyFont="1" applyBorder="1" applyAlignment="1" applyProtection="1">
      <alignment horizontal="center"/>
    </xf>
    <xf numFmtId="44" fontId="30" fillId="0" borderId="43" xfId="1" applyFont="1" applyFill="1" applyBorder="1" applyAlignment="1" applyProtection="1">
      <alignment horizontal="center"/>
      <protection locked="0"/>
    </xf>
    <xf numFmtId="2" fontId="31" fillId="0" borderId="43" xfId="0" applyNumberFormat="1" applyFont="1" applyFill="1" applyBorder="1" applyAlignment="1" applyProtection="1">
      <alignment horizontal="center"/>
    </xf>
    <xf numFmtId="44" fontId="3" fillId="0" borderId="18" xfId="1" applyFont="1" applyFill="1" applyBorder="1" applyProtection="1"/>
    <xf numFmtId="44" fontId="3" fillId="0" borderId="26" xfId="1" applyFont="1" applyFill="1" applyBorder="1" applyProtection="1"/>
    <xf numFmtId="44" fontId="24" fillId="0" borderId="31" xfId="1" applyFont="1" applyFill="1" applyBorder="1" applyAlignment="1" applyProtection="1">
      <alignment horizontal="center"/>
    </xf>
    <xf numFmtId="44" fontId="24" fillId="0" borderId="30" xfId="1" applyFont="1" applyFill="1" applyBorder="1" applyAlignment="1" applyProtection="1">
      <alignment horizontal="center"/>
    </xf>
    <xf numFmtId="44" fontId="38" fillId="0" borderId="29" xfId="1" applyFont="1" applyFill="1" applyBorder="1" applyAlignment="1" applyProtection="1">
      <alignment horizontal="center"/>
    </xf>
    <xf numFmtId="0" fontId="48" fillId="0" borderId="0" xfId="4"/>
    <xf numFmtId="0" fontId="8" fillId="9" borderId="2" xfId="0" applyFont="1" applyFill="1" applyBorder="1" applyAlignment="1">
      <alignment horizontal="center" vertical="top"/>
    </xf>
    <xf numFmtId="0" fontId="8" fillId="9" borderId="0" xfId="0" applyFont="1" applyFill="1" applyBorder="1" applyAlignment="1">
      <alignment horizontal="center" vertical="top"/>
    </xf>
    <xf numFmtId="0" fontId="8" fillId="9" borderId="12" xfId="0" applyFont="1" applyFill="1" applyBorder="1" applyAlignment="1">
      <alignment horizontal="right" vertical="center"/>
    </xf>
    <xf numFmtId="0" fontId="8" fillId="9" borderId="13" xfId="0" applyFont="1" applyFill="1" applyBorder="1" applyAlignment="1">
      <alignment horizontal="right" vertical="center"/>
    </xf>
    <xf numFmtId="0" fontId="8" fillId="9" borderId="1" xfId="0" applyFont="1" applyFill="1" applyBorder="1" applyAlignment="1">
      <alignment horizontal="right" vertical="center"/>
    </xf>
    <xf numFmtId="0" fontId="8" fillId="9" borderId="2" xfId="0" applyFont="1" applyFill="1" applyBorder="1" applyAlignment="1">
      <alignment horizontal="right" vertical="center"/>
    </xf>
    <xf numFmtId="0" fontId="8" fillId="9" borderId="2" xfId="0" applyFont="1" applyFill="1" applyBorder="1" applyAlignment="1">
      <alignment horizontal="right" vertical="top"/>
    </xf>
    <xf numFmtId="0" fontId="8" fillId="9" borderId="0" xfId="0" applyFont="1" applyFill="1" applyBorder="1" applyAlignment="1">
      <alignment horizontal="right" vertical="top"/>
    </xf>
    <xf numFmtId="0" fontId="8" fillId="9" borderId="13" xfId="0" applyFont="1" applyFill="1" applyBorder="1" applyAlignment="1">
      <alignment horizontal="right" vertical="top"/>
    </xf>
    <xf numFmtId="0" fontId="8" fillId="9" borderId="35" xfId="0" applyFont="1" applyFill="1" applyBorder="1" applyAlignment="1">
      <alignment horizontal="right" vertical="center"/>
    </xf>
    <xf numFmtId="0" fontId="8" fillId="9" borderId="16" xfId="0" applyFont="1" applyFill="1" applyBorder="1" applyAlignment="1">
      <alignment horizontal="right" vertical="center"/>
    </xf>
    <xf numFmtId="0" fontId="3" fillId="9" borderId="4" xfId="0" applyFont="1" applyFill="1" applyBorder="1" applyAlignment="1">
      <alignment horizontal="right"/>
    </xf>
    <xf numFmtId="0" fontId="3" fillId="9" borderId="0" xfId="0" applyFont="1" applyFill="1" applyBorder="1"/>
    <xf numFmtId="0" fontId="0" fillId="9" borderId="0" xfId="0" applyFill="1" applyBorder="1"/>
    <xf numFmtId="0" fontId="0" fillId="9" borderId="5" xfId="0" applyFill="1" applyBorder="1"/>
    <xf numFmtId="0" fontId="9" fillId="9" borderId="4" xfId="0" applyFont="1" applyFill="1" applyBorder="1" applyAlignment="1">
      <alignment horizontal="right"/>
    </xf>
    <xf numFmtId="0" fontId="9" fillId="9" borderId="0" xfId="0" applyFont="1" applyFill="1" applyBorder="1"/>
    <xf numFmtId="0" fontId="2" fillId="9" borderId="0" xfId="0" applyFont="1" applyFill="1" applyBorder="1"/>
    <xf numFmtId="0" fontId="2" fillId="9" borderId="5" xfId="0" applyFont="1" applyFill="1" applyBorder="1"/>
    <xf numFmtId="0" fontId="8" fillId="9" borderId="0" xfId="0" applyFont="1" applyFill="1" applyBorder="1" applyAlignment="1">
      <alignment horizontal="right" vertical="center"/>
    </xf>
    <xf numFmtId="0" fontId="0" fillId="9" borderId="4" xfId="0" applyFill="1" applyBorder="1"/>
    <xf numFmtId="0" fontId="12" fillId="9" borderId="0" xfId="0" applyFont="1" applyFill="1" applyBorder="1" applyAlignment="1">
      <alignment horizontal="right"/>
    </xf>
    <xf numFmtId="0" fontId="0" fillId="9" borderId="12" xfId="0" applyFill="1" applyBorder="1"/>
    <xf numFmtId="0" fontId="0" fillId="9" borderId="13" xfId="0" applyFill="1" applyBorder="1"/>
    <xf numFmtId="0" fontId="0" fillId="9" borderId="6" xfId="0" applyFill="1" applyBorder="1"/>
    <xf numFmtId="0" fontId="41" fillId="0" borderId="0" xfId="0" applyFont="1" applyProtection="1"/>
    <xf numFmtId="0" fontId="41" fillId="0" borderId="0" xfId="0" applyFont="1" applyProtection="1">
      <protection locked="0"/>
    </xf>
    <xf numFmtId="0" fontId="0" fillId="0" borderId="0" xfId="0" applyFont="1" applyFill="1" applyProtection="1">
      <protection locked="0"/>
    </xf>
    <xf numFmtId="0" fontId="9" fillId="8" borderId="25" xfId="0" applyFont="1" applyFill="1" applyBorder="1" applyAlignment="1" applyProtection="1"/>
    <xf numFmtId="0" fontId="9" fillId="8" borderId="14" xfId="0" applyFont="1" applyFill="1" applyBorder="1" applyAlignment="1" applyProtection="1"/>
    <xf numFmtId="0" fontId="41" fillId="8" borderId="14" xfId="0" applyFont="1" applyFill="1" applyBorder="1" applyAlignment="1" applyProtection="1"/>
    <xf numFmtId="0" fontId="41" fillId="8" borderId="14" xfId="0" applyFont="1" applyFill="1" applyBorder="1" applyAlignment="1" applyProtection="1">
      <alignment horizontal="center"/>
    </xf>
    <xf numFmtId="44" fontId="9" fillId="8" borderId="15" xfId="0" applyNumberFormat="1" applyFont="1" applyFill="1" applyBorder="1" applyAlignment="1" applyProtection="1"/>
    <xf numFmtId="0" fontId="41" fillId="7" borderId="14" xfId="0" applyFont="1" applyFill="1" applyBorder="1" applyAlignment="1" applyProtection="1"/>
    <xf numFmtId="0" fontId="41" fillId="7" borderId="14" xfId="0" applyFont="1" applyFill="1" applyBorder="1" applyAlignment="1" applyProtection="1">
      <alignment horizontal="center"/>
    </xf>
    <xf numFmtId="44" fontId="9" fillId="7" borderId="15" xfId="0" applyNumberFormat="1" applyFont="1" applyFill="1" applyBorder="1" applyAlignment="1" applyProtection="1"/>
    <xf numFmtId="0" fontId="9" fillId="7" borderId="25" xfId="0" applyFont="1" applyFill="1" applyBorder="1" applyAlignment="1" applyProtection="1">
      <alignment horizontal="left"/>
    </xf>
    <xf numFmtId="0" fontId="9" fillId="7" borderId="14" xfId="0" applyFont="1" applyFill="1" applyBorder="1" applyAlignment="1" applyProtection="1">
      <alignment horizontal="left"/>
    </xf>
    <xf numFmtId="0" fontId="42" fillId="7" borderId="14" xfId="0" applyFont="1" applyFill="1" applyBorder="1" applyAlignment="1" applyProtection="1"/>
    <xf numFmtId="0" fontId="24" fillId="0" borderId="19" xfId="0" applyFont="1" applyFill="1" applyBorder="1" applyProtection="1"/>
    <xf numFmtId="0" fontId="3" fillId="0" borderId="30" xfId="0" applyFont="1" applyFill="1" applyBorder="1" applyProtection="1"/>
    <xf numFmtId="0" fontId="9" fillId="8" borderId="35" xfId="0" applyFont="1" applyFill="1" applyBorder="1" applyProtection="1"/>
    <xf numFmtId="0" fontId="9" fillId="8" borderId="16" xfId="0" applyFont="1" applyFill="1" applyBorder="1" applyAlignment="1" applyProtection="1">
      <alignment horizontal="center"/>
    </xf>
    <xf numFmtId="0" fontId="8" fillId="8" borderId="16" xfId="0" applyFont="1" applyFill="1" applyBorder="1" applyAlignment="1" applyProtection="1">
      <alignment horizontal="center"/>
    </xf>
    <xf numFmtId="0" fontId="9" fillId="8" borderId="24" xfId="0" applyFont="1" applyFill="1" applyBorder="1" applyAlignment="1" applyProtection="1">
      <alignment horizontal="center"/>
    </xf>
    <xf numFmtId="0" fontId="24" fillId="0" borderId="31" xfId="0" applyFont="1" applyFill="1" applyBorder="1" applyProtection="1"/>
    <xf numFmtId="0" fontId="9" fillId="8" borderId="16" xfId="0" applyFont="1" applyFill="1" applyBorder="1" applyAlignment="1" applyProtection="1">
      <alignment horizontal="center" vertical="center"/>
    </xf>
    <xf numFmtId="0" fontId="9" fillId="8" borderId="16" xfId="0" applyFont="1" applyFill="1" applyBorder="1" applyAlignment="1" applyProtection="1">
      <alignment horizontal="center" vertical="center" wrapText="1"/>
    </xf>
    <xf numFmtId="0" fontId="8" fillId="8" borderId="16" xfId="0" applyFont="1" applyFill="1" applyBorder="1" applyAlignment="1" applyProtection="1">
      <alignment horizontal="center" vertical="center"/>
    </xf>
    <xf numFmtId="0" fontId="9" fillId="8" borderId="24" xfId="0" applyFont="1" applyFill="1" applyBorder="1" applyAlignment="1" applyProtection="1">
      <alignment horizontal="center" vertical="center"/>
    </xf>
    <xf numFmtId="0" fontId="9" fillId="8" borderId="57" xfId="0" applyFont="1" applyFill="1" applyBorder="1" applyAlignment="1" applyProtection="1">
      <alignment horizontal="center"/>
    </xf>
    <xf numFmtId="0" fontId="49" fillId="0" borderId="0" xfId="0" applyFont="1" applyProtection="1">
      <protection locked="0"/>
    </xf>
    <xf numFmtId="0" fontId="9" fillId="7" borderId="44" xfId="0" applyFont="1" applyFill="1" applyBorder="1" applyAlignment="1" applyProtection="1">
      <alignment horizontal="center"/>
    </xf>
    <xf numFmtId="0" fontId="9" fillId="7" borderId="51" xfId="0" applyFont="1" applyFill="1" applyBorder="1" applyAlignment="1" applyProtection="1">
      <alignment horizontal="center"/>
    </xf>
    <xf numFmtId="0" fontId="29" fillId="0" borderId="4" xfId="0" applyFont="1" applyFill="1" applyBorder="1" applyAlignment="1" applyProtection="1">
      <alignment horizontal="left"/>
    </xf>
    <xf numFmtId="0" fontId="6" fillId="0" borderId="4" xfId="0" applyFont="1" applyFill="1" applyBorder="1" applyAlignment="1" applyProtection="1">
      <alignment horizontal="center"/>
    </xf>
    <xf numFmtId="0" fontId="9" fillId="0" borderId="5" xfId="0" applyFont="1" applyFill="1" applyBorder="1" applyAlignment="1" applyProtection="1"/>
    <xf numFmtId="44" fontId="3" fillId="0" borderId="31" xfId="1" applyNumberFormat="1" applyFont="1" applyFill="1" applyBorder="1" applyAlignment="1" applyProtection="1">
      <alignment horizontal="center"/>
    </xf>
    <xf numFmtId="8" fontId="29" fillId="0" borderId="0" xfId="0" applyNumberFormat="1" applyFont="1" applyFill="1" applyBorder="1" applyAlignment="1" applyProtection="1">
      <alignment horizontal="center"/>
    </xf>
    <xf numFmtId="8" fontId="38" fillId="0" borderId="22" xfId="0" applyNumberFormat="1" applyFont="1" applyFill="1" applyBorder="1" applyAlignment="1" applyProtection="1">
      <alignment horizontal="center"/>
    </xf>
    <xf numFmtId="44" fontId="38" fillId="0" borderId="33" xfId="1" applyFont="1" applyFill="1" applyBorder="1" applyAlignment="1" applyProtection="1">
      <alignment horizontal="center"/>
    </xf>
    <xf numFmtId="44" fontId="38" fillId="0" borderId="17" xfId="1" applyFont="1" applyFill="1" applyBorder="1" applyAlignment="1" applyProtection="1">
      <alignment horizontal="center"/>
    </xf>
    <xf numFmtId="44" fontId="3" fillId="0" borderId="19" xfId="1" applyFont="1" applyFill="1" applyBorder="1" applyProtection="1"/>
    <xf numFmtId="44" fontId="3" fillId="0" borderId="20" xfId="1" applyFont="1" applyFill="1" applyBorder="1" applyProtection="1"/>
    <xf numFmtId="44" fontId="3" fillId="0" borderId="8" xfId="1" applyFont="1" applyFill="1" applyBorder="1" applyProtection="1"/>
    <xf numFmtId="44" fontId="3" fillId="0" borderId="21" xfId="1" applyFont="1" applyFill="1" applyBorder="1" applyProtection="1"/>
    <xf numFmtId="0" fontId="9" fillId="0" borderId="18" xfId="0" applyFont="1" applyBorder="1" applyProtection="1"/>
    <xf numFmtId="0" fontId="29" fillId="0" borderId="18" xfId="0" applyFont="1" applyFill="1" applyBorder="1" applyAlignment="1" applyProtection="1">
      <alignment horizontal="left" indent="2"/>
    </xf>
    <xf numFmtId="0" fontId="9" fillId="0" borderId="18" xfId="0" applyFont="1" applyFill="1" applyBorder="1" applyProtection="1"/>
    <xf numFmtId="8" fontId="8" fillId="0" borderId="8" xfId="0" applyNumberFormat="1" applyFont="1" applyBorder="1" applyAlignment="1" applyProtection="1">
      <alignment horizontal="center"/>
    </xf>
    <xf numFmtId="0" fontId="6" fillId="0" borderId="18" xfId="0" applyFont="1" applyFill="1" applyBorder="1" applyAlignment="1" applyProtection="1">
      <alignment horizontal="center"/>
    </xf>
    <xf numFmtId="0" fontId="6" fillId="0" borderId="5" xfId="0" applyFont="1" applyFill="1" applyBorder="1" applyAlignment="1" applyProtection="1">
      <alignment horizontal="center"/>
    </xf>
    <xf numFmtId="0" fontId="6" fillId="0" borderId="0" xfId="0" applyFont="1" applyFill="1" applyBorder="1" applyAlignment="1" applyProtection="1">
      <alignment horizontal="center"/>
    </xf>
    <xf numFmtId="0" fontId="6" fillId="0" borderId="19" xfId="0" applyFont="1" applyFill="1" applyBorder="1" applyAlignment="1" applyProtection="1">
      <alignment horizontal="center"/>
    </xf>
    <xf numFmtId="0" fontId="5" fillId="0" borderId="19" xfId="0" applyFont="1" applyBorder="1" applyAlignment="1" applyProtection="1">
      <alignment horizontal="center"/>
      <protection locked="0"/>
    </xf>
    <xf numFmtId="0" fontId="5" fillId="0" borderId="27" xfId="0" applyFont="1" applyBorder="1" applyAlignment="1" applyProtection="1">
      <alignment horizontal="center"/>
      <protection locked="0"/>
    </xf>
    <xf numFmtId="0" fontId="9" fillId="8" borderId="16" xfId="0" applyFont="1" applyFill="1" applyBorder="1" applyAlignment="1" applyProtection="1">
      <alignment horizontal="center"/>
    </xf>
    <xf numFmtId="0" fontId="9" fillId="8" borderId="24" xfId="0" applyFont="1" applyFill="1" applyBorder="1" applyAlignment="1" applyProtection="1">
      <alignment horizontal="center"/>
    </xf>
    <xf numFmtId="0" fontId="7" fillId="0" borderId="0" xfId="0" applyFont="1" applyFill="1" applyBorder="1" applyAlignment="1" applyProtection="1">
      <alignment horizontal="center"/>
    </xf>
    <xf numFmtId="0" fontId="10" fillId="0" borderId="18" xfId="0" applyFont="1" applyFill="1" applyBorder="1" applyAlignment="1" applyProtection="1">
      <alignment horizontal="center"/>
    </xf>
    <xf numFmtId="0" fontId="24" fillId="0" borderId="19" xfId="0" applyFont="1" applyFill="1" applyBorder="1" applyAlignment="1" applyProtection="1"/>
    <xf numFmtId="0" fontId="9" fillId="0" borderId="0" xfId="0" applyFont="1" applyFill="1" applyBorder="1" applyAlignment="1" applyProtection="1">
      <alignment horizontal="center"/>
    </xf>
    <xf numFmtId="0" fontId="3" fillId="0" borderId="19" xfId="0" applyFont="1" applyFill="1" applyBorder="1" applyAlignment="1" applyProtection="1">
      <alignment horizontal="center"/>
    </xf>
    <xf numFmtId="8" fontId="14" fillId="0" borderId="0" xfId="0" applyNumberFormat="1" applyFont="1" applyFill="1" applyBorder="1" applyAlignment="1" applyProtection="1">
      <alignment horizontal="center"/>
      <protection locked="0"/>
    </xf>
    <xf numFmtId="44" fontId="24" fillId="0" borderId="32" xfId="1" applyFont="1" applyFill="1" applyBorder="1" applyAlignment="1" applyProtection="1">
      <alignment horizontal="center"/>
    </xf>
    <xf numFmtId="44" fontId="38" fillId="0" borderId="28" xfId="1" applyFont="1" applyFill="1" applyBorder="1" applyAlignment="1" applyProtection="1">
      <alignment horizontal="center"/>
    </xf>
    <xf numFmtId="0" fontId="2" fillId="0" borderId="0" xfId="0" applyFont="1" applyAlignment="1">
      <alignment horizontal="center"/>
    </xf>
    <xf numFmtId="0" fontId="0" fillId="0" borderId="0" xfId="0" applyFont="1" applyAlignment="1">
      <alignment horizontal="left"/>
    </xf>
    <xf numFmtId="8" fontId="0" fillId="0" borderId="0" xfId="0" applyNumberFormat="1"/>
    <xf numFmtId="8" fontId="0" fillId="0" borderId="0" xfId="0" applyNumberFormat="1" applyAlignment="1">
      <alignment horizontal="center"/>
    </xf>
    <xf numFmtId="165" fontId="0" fillId="0" borderId="0" xfId="0" applyNumberFormat="1" applyAlignment="1">
      <alignment horizontal="center"/>
    </xf>
    <xf numFmtId="0" fontId="27" fillId="0" borderId="0" xfId="0" applyFont="1" applyAlignment="1" applyProtection="1">
      <alignment horizontal="center"/>
      <protection locked="0"/>
    </xf>
    <xf numFmtId="8" fontId="38" fillId="0" borderId="28" xfId="0" applyNumberFormat="1" applyFont="1" applyFill="1" applyBorder="1" applyAlignment="1" applyProtection="1">
      <alignment horizontal="center"/>
    </xf>
    <xf numFmtId="0" fontId="47" fillId="0" borderId="0" xfId="0" applyFont="1" applyFill="1" applyBorder="1" applyAlignment="1" applyProtection="1">
      <alignment horizontal="center"/>
    </xf>
    <xf numFmtId="0" fontId="9" fillId="0" borderId="59" xfId="0" applyFont="1" applyFill="1" applyBorder="1" applyAlignment="1" applyProtection="1">
      <alignment horizontal="left"/>
    </xf>
    <xf numFmtId="2" fontId="9" fillId="0" borderId="58" xfId="0" applyNumberFormat="1" applyFont="1" applyFill="1" applyBorder="1" applyAlignment="1" applyProtection="1">
      <alignment horizontal="center"/>
    </xf>
    <xf numFmtId="2" fontId="9" fillId="0" borderId="59" xfId="0" applyNumberFormat="1" applyFont="1" applyFill="1" applyBorder="1" applyAlignment="1" applyProtection="1">
      <alignment horizontal="center"/>
    </xf>
    <xf numFmtId="2" fontId="9" fillId="0" borderId="42" xfId="0" applyNumberFormat="1" applyFont="1" applyFill="1" applyBorder="1" applyAlignment="1" applyProtection="1">
      <alignment horizontal="center"/>
    </xf>
    <xf numFmtId="2" fontId="9" fillId="0" borderId="65" xfId="0" applyNumberFormat="1" applyFont="1" applyFill="1" applyBorder="1" applyAlignment="1" applyProtection="1">
      <alignment horizontal="center"/>
    </xf>
    <xf numFmtId="0" fontId="2" fillId="0" borderId="0" xfId="0" applyFont="1" applyBorder="1" applyAlignment="1" applyProtection="1">
      <alignment horizontal="center"/>
    </xf>
    <xf numFmtId="0" fontId="29" fillId="0" borderId="48" xfId="0" applyFont="1" applyFill="1" applyBorder="1" applyAlignment="1" applyProtection="1">
      <alignment horizontal="left"/>
    </xf>
    <xf numFmtId="0" fontId="29" fillId="0" borderId="51" xfId="0" applyFont="1" applyFill="1" applyBorder="1" applyAlignment="1" applyProtection="1">
      <alignment horizontal="left"/>
    </xf>
    <xf numFmtId="165" fontId="11" fillId="0" borderId="46" xfId="0" applyNumberFormat="1" applyFont="1" applyFill="1" applyBorder="1" applyAlignment="1" applyProtection="1">
      <alignment horizontal="left" vertical="center"/>
    </xf>
    <xf numFmtId="8" fontId="11" fillId="0" borderId="18" xfId="0" applyNumberFormat="1" applyFont="1" applyFill="1" applyBorder="1" applyAlignment="1" applyProtection="1">
      <alignment horizontal="center"/>
    </xf>
    <xf numFmtId="8" fontId="11" fillId="0" borderId="19" xfId="0" applyNumberFormat="1" applyFont="1" applyFill="1" applyBorder="1" applyAlignment="1" applyProtection="1">
      <alignment horizontal="center"/>
    </xf>
    <xf numFmtId="8" fontId="11" fillId="0" borderId="5" xfId="0" applyNumberFormat="1" applyFont="1" applyFill="1" applyBorder="1" applyAlignment="1" applyProtection="1">
      <alignment horizontal="center"/>
    </xf>
    <xf numFmtId="0" fontId="11" fillId="0" borderId="46" xfId="0" applyFont="1" applyFill="1" applyBorder="1" applyAlignment="1" applyProtection="1"/>
    <xf numFmtId="0" fontId="50" fillId="0" borderId="51" xfId="0" applyFont="1" applyFill="1" applyBorder="1" applyAlignment="1" applyProtection="1">
      <alignment horizontal="left"/>
    </xf>
    <xf numFmtId="0" fontId="50" fillId="0" borderId="31" xfId="0" applyFont="1" applyFill="1" applyBorder="1" applyAlignment="1" applyProtection="1">
      <alignment horizontal="left"/>
    </xf>
    <xf numFmtId="0" fontId="50" fillId="0" borderId="51" xfId="0" applyFont="1" applyFill="1" applyBorder="1" applyAlignment="1" applyProtection="1"/>
    <xf numFmtId="0" fontId="52" fillId="0" borderId="0" xfId="0" applyFont="1" applyFill="1" applyBorder="1" applyAlignment="1" applyProtection="1"/>
    <xf numFmtId="165" fontId="50" fillId="0" borderId="51" xfId="0" applyNumberFormat="1" applyFont="1" applyFill="1" applyBorder="1" applyAlignment="1" applyProtection="1">
      <alignment horizontal="left" vertical="center"/>
    </xf>
    <xf numFmtId="0" fontId="52" fillId="0" borderId="31" xfId="0" applyFont="1" applyFill="1" applyBorder="1" applyAlignment="1" applyProtection="1">
      <alignment horizontal="left"/>
    </xf>
    <xf numFmtId="165" fontId="50" fillId="0" borderId="64" xfId="0" applyNumberFormat="1" applyFont="1" applyFill="1" applyBorder="1" applyAlignment="1" applyProtection="1">
      <alignment horizontal="left" vertical="center"/>
    </xf>
    <xf numFmtId="0" fontId="52" fillId="0" borderId="27" xfId="0" applyFont="1" applyFill="1" applyBorder="1" applyAlignment="1" applyProtection="1">
      <alignment horizontal="left"/>
    </xf>
    <xf numFmtId="40" fontId="50" fillId="0" borderId="38" xfId="0" applyNumberFormat="1" applyFont="1" applyFill="1" applyBorder="1" applyAlignment="1" applyProtection="1">
      <alignment horizontal="center"/>
    </xf>
    <xf numFmtId="8" fontId="50" fillId="0" borderId="38" xfId="0" applyNumberFormat="1" applyFont="1" applyFill="1" applyBorder="1" applyAlignment="1" applyProtection="1">
      <alignment horizontal="center"/>
    </xf>
    <xf numFmtId="8" fontId="50" fillId="0" borderId="13" xfId="0" applyNumberFormat="1" applyFont="1" applyFill="1" applyBorder="1" applyAlignment="1" applyProtection="1">
      <alignment horizontal="center"/>
    </xf>
    <xf numFmtId="40" fontId="50" fillId="0" borderId="45" xfId="0" applyNumberFormat="1" applyFont="1" applyFill="1" applyBorder="1" applyAlignment="1" applyProtection="1">
      <alignment horizontal="center"/>
    </xf>
    <xf numFmtId="40" fontId="50" fillId="0" borderId="53" xfId="0" applyNumberFormat="1" applyFont="1" applyFill="1" applyBorder="1" applyAlignment="1" applyProtection="1">
      <alignment horizontal="center"/>
    </xf>
    <xf numFmtId="165" fontId="24" fillId="0" borderId="32" xfId="1" applyNumberFormat="1" applyFont="1" applyFill="1" applyBorder="1" applyAlignment="1" applyProtection="1">
      <alignment horizontal="center"/>
    </xf>
    <xf numFmtId="165" fontId="24" fillId="0" borderId="31" xfId="1" applyNumberFormat="1" applyFont="1" applyFill="1" applyBorder="1" applyAlignment="1" applyProtection="1">
      <alignment horizontal="center"/>
    </xf>
    <xf numFmtId="8" fontId="38" fillId="0" borderId="17" xfId="1" applyNumberFormat="1" applyFont="1" applyFill="1" applyBorder="1" applyAlignment="1" applyProtection="1">
      <alignment horizontal="center"/>
    </xf>
    <xf numFmtId="0" fontId="11" fillId="0" borderId="51" xfId="0" applyFont="1" applyFill="1" applyBorder="1" applyAlignment="1" applyProtection="1">
      <alignment horizontal="left"/>
    </xf>
    <xf numFmtId="0" fontId="11" fillId="0" borderId="48" xfId="0" applyFont="1" applyFill="1" applyBorder="1" applyAlignment="1" applyProtection="1">
      <alignment horizontal="left"/>
    </xf>
    <xf numFmtId="165" fontId="34" fillId="0" borderId="28" xfId="1" applyNumberFormat="1" applyFont="1" applyFill="1" applyBorder="1" applyAlignment="1" applyProtection="1">
      <alignment horizontal="center"/>
    </xf>
    <xf numFmtId="165" fontId="9" fillId="0" borderId="0" xfId="0" applyNumberFormat="1" applyFont="1" applyFill="1" applyBorder="1" applyAlignment="1" applyProtection="1">
      <alignment horizontal="left"/>
    </xf>
    <xf numFmtId="2" fontId="9" fillId="0" borderId="0" xfId="0" applyNumberFormat="1" applyFont="1" applyFill="1" applyBorder="1" applyAlignment="1" applyProtection="1">
      <alignment horizontal="left"/>
    </xf>
    <xf numFmtId="165" fontId="9" fillId="7" borderId="32" xfId="0" applyNumberFormat="1" applyFont="1" applyFill="1" applyBorder="1" applyAlignment="1" applyProtection="1">
      <alignment horizontal="center"/>
    </xf>
    <xf numFmtId="2" fontId="9" fillId="7" borderId="22" xfId="0" applyNumberFormat="1" applyFont="1" applyFill="1" applyBorder="1" applyAlignment="1" applyProtection="1">
      <alignment horizontal="center"/>
    </xf>
    <xf numFmtId="165" fontId="9" fillId="0" borderId="0" xfId="0" applyNumberFormat="1" applyFont="1"/>
    <xf numFmtId="0" fontId="0" fillId="0" borderId="0" xfId="0" applyNumberFormat="1" applyAlignment="1">
      <alignment horizontal="center"/>
    </xf>
    <xf numFmtId="0" fontId="54" fillId="0" borderId="0" xfId="0" applyFont="1"/>
    <xf numFmtId="0" fontId="3" fillId="9" borderId="0" xfId="0" applyFont="1" applyFill="1" applyBorder="1" applyAlignment="1">
      <alignment horizontal="center" vertical="center" wrapText="1"/>
    </xf>
    <xf numFmtId="0" fontId="3" fillId="9" borderId="5" xfId="0" applyFont="1" applyFill="1" applyBorder="1" applyAlignment="1">
      <alignment horizontal="center" vertical="center" wrapText="1"/>
    </xf>
    <xf numFmtId="0" fontId="12" fillId="9" borderId="12" xfId="0" applyFont="1" applyFill="1" applyBorder="1" applyAlignment="1">
      <alignment horizontal="right"/>
    </xf>
    <xf numFmtId="0" fontId="12" fillId="9" borderId="13" xfId="0" applyFont="1" applyFill="1" applyBorder="1" applyAlignment="1">
      <alignment horizontal="right"/>
    </xf>
    <xf numFmtId="44" fontId="14" fillId="0" borderId="0" xfId="0" applyNumberFormat="1" applyFont="1" applyFill="1" applyAlignment="1" applyProtection="1">
      <protection locked="0"/>
    </xf>
    <xf numFmtId="0" fontId="0" fillId="0" borderId="0" xfId="0" applyFont="1"/>
    <xf numFmtId="44" fontId="0" fillId="0" borderId="0" xfId="0" applyNumberFormat="1" applyFont="1" applyFill="1" applyAlignment="1" applyProtection="1">
      <protection locked="0"/>
    </xf>
    <xf numFmtId="0" fontId="0" fillId="0" borderId="0" xfId="0" applyFont="1" applyAlignment="1">
      <alignment horizontal="center"/>
    </xf>
    <xf numFmtId="44" fontId="0" fillId="0" borderId="0" xfId="0" applyNumberFormat="1" applyFont="1"/>
    <xf numFmtId="0" fontId="0" fillId="0" borderId="0" xfId="0" applyFont="1" applyBorder="1"/>
    <xf numFmtId="0" fontId="29" fillId="0" borderId="0" xfId="0" applyFont="1" applyFill="1" applyBorder="1" applyAlignment="1" applyProtection="1">
      <alignment horizontal="left" indent="2"/>
    </xf>
    <xf numFmtId="0" fontId="13" fillId="0" borderId="0" xfId="0" applyFont="1" applyFill="1" applyBorder="1" applyAlignment="1" applyProtection="1">
      <alignment horizontal="left" indent="2"/>
    </xf>
    <xf numFmtId="0" fontId="13" fillId="0" borderId="0" xfId="0" applyFont="1" applyBorder="1" applyAlignment="1" applyProtection="1">
      <alignment horizontal="left" indent="2"/>
      <protection locked="0"/>
    </xf>
    <xf numFmtId="0" fontId="14" fillId="0" borderId="4" xfId="0" applyFont="1" applyFill="1" applyBorder="1" applyAlignment="1" applyProtection="1">
      <protection locked="0"/>
    </xf>
    <xf numFmtId="0" fontId="14" fillId="0" borderId="12" xfId="0" applyFont="1" applyFill="1" applyBorder="1" applyAlignment="1" applyProtection="1">
      <protection locked="0"/>
    </xf>
    <xf numFmtId="0" fontId="14" fillId="0" borderId="13" xfId="0" applyFont="1" applyFill="1" applyBorder="1" applyAlignment="1" applyProtection="1">
      <protection locked="0"/>
    </xf>
    <xf numFmtId="0" fontId="14" fillId="0" borderId="6" xfId="0" applyFont="1" applyFill="1" applyBorder="1" applyAlignment="1" applyProtection="1">
      <protection locked="0"/>
    </xf>
    <xf numFmtId="0" fontId="32" fillId="0" borderId="43" xfId="0" applyFont="1" applyFill="1" applyBorder="1" applyProtection="1">
      <protection locked="0"/>
    </xf>
    <xf numFmtId="0" fontId="55" fillId="5" borderId="0" xfId="0" applyFont="1" applyFill="1" applyAlignment="1" applyProtection="1">
      <alignment horizontal="center"/>
    </xf>
    <xf numFmtId="0" fontId="2" fillId="0" borderId="0" xfId="0" applyFont="1" applyBorder="1" applyAlignment="1">
      <alignment horizontal="center"/>
    </xf>
    <xf numFmtId="44" fontId="32" fillId="8" borderId="17" xfId="1" applyFont="1" applyFill="1" applyBorder="1" applyAlignment="1" applyProtection="1">
      <alignment horizontal="center"/>
      <protection locked="0"/>
    </xf>
    <xf numFmtId="0" fontId="9" fillId="8" borderId="31" xfId="0" applyFont="1" applyFill="1" applyBorder="1" applyAlignment="1" applyProtection="1">
      <alignment horizontal="center"/>
      <protection locked="0"/>
    </xf>
    <xf numFmtId="0" fontId="32" fillId="8" borderId="17" xfId="0" applyFont="1" applyFill="1" applyBorder="1" applyAlignment="1" applyProtection="1">
      <alignment horizontal="center"/>
      <protection locked="0"/>
    </xf>
    <xf numFmtId="0" fontId="9" fillId="8" borderId="17" xfId="0" applyFont="1" applyFill="1" applyBorder="1" applyAlignment="1" applyProtection="1">
      <alignment horizontal="center"/>
      <protection locked="0"/>
    </xf>
    <xf numFmtId="168" fontId="32" fillId="8" borderId="17" xfId="3" applyNumberFormat="1" applyFont="1" applyFill="1" applyBorder="1" applyAlignment="1" applyProtection="1">
      <alignment horizontal="center"/>
      <protection locked="0"/>
    </xf>
    <xf numFmtId="44" fontId="32" fillId="8" borderId="67" xfId="1" applyFont="1" applyFill="1" applyBorder="1" applyAlignment="1" applyProtection="1">
      <alignment horizontal="center"/>
      <protection locked="0"/>
    </xf>
    <xf numFmtId="44" fontId="32" fillId="8" borderId="68" xfId="1" applyFont="1" applyFill="1" applyBorder="1" applyAlignment="1" applyProtection="1">
      <alignment horizontal="center"/>
      <protection locked="0"/>
    </xf>
    <xf numFmtId="44" fontId="32" fillId="8" borderId="56" xfId="1" applyFont="1" applyFill="1" applyBorder="1" applyAlignment="1" applyProtection="1">
      <alignment horizontal="center"/>
      <protection locked="0"/>
    </xf>
    <xf numFmtId="0" fontId="32" fillId="8" borderId="51" xfId="0" applyFont="1" applyFill="1" applyBorder="1" applyAlignment="1" applyProtection="1">
      <alignment horizontal="center"/>
      <protection locked="0"/>
    </xf>
    <xf numFmtId="44" fontId="32" fillId="8" borderId="17" xfId="1" applyFont="1" applyFill="1" applyBorder="1" applyAlignment="1" applyProtection="1">
      <alignment horizontal="right"/>
      <protection locked="0"/>
    </xf>
    <xf numFmtId="2" fontId="32" fillId="8" borderId="17" xfId="0" applyNumberFormat="1" applyFont="1" applyFill="1" applyBorder="1" applyAlignment="1" applyProtection="1">
      <alignment horizontal="right"/>
      <protection locked="0"/>
    </xf>
    <xf numFmtId="0" fontId="33" fillId="8" borderId="17" xfId="0" applyFont="1" applyFill="1" applyBorder="1" applyAlignment="1" applyProtection="1">
      <alignment horizontal="center"/>
      <protection locked="0"/>
    </xf>
    <xf numFmtId="1" fontId="33" fillId="8" borderId="17" xfId="0" applyNumberFormat="1" applyFont="1" applyFill="1" applyBorder="1" applyAlignment="1" applyProtection="1">
      <alignment horizontal="center"/>
      <protection locked="0"/>
    </xf>
    <xf numFmtId="44" fontId="32" fillId="8" borderId="17" xfId="1" applyNumberFormat="1" applyFont="1" applyFill="1" applyBorder="1" applyAlignment="1" applyProtection="1">
      <alignment horizontal="center"/>
      <protection locked="0"/>
    </xf>
    <xf numFmtId="165" fontId="33" fillId="8" borderId="17" xfId="0" applyNumberFormat="1" applyFont="1" applyFill="1" applyBorder="1" applyAlignment="1" applyProtection="1">
      <alignment horizontal="center"/>
      <protection locked="0"/>
    </xf>
    <xf numFmtId="0" fontId="6" fillId="0" borderId="18" xfId="0" applyFont="1" applyFill="1" applyBorder="1" applyAlignment="1" applyProtection="1">
      <alignment horizontal="center"/>
    </xf>
    <xf numFmtId="0" fontId="6" fillId="0" borderId="0" xfId="0" applyFont="1" applyFill="1" applyBorder="1" applyAlignment="1" applyProtection="1">
      <alignment horizontal="center"/>
    </xf>
    <xf numFmtId="0" fontId="14" fillId="0" borderId="46" xfId="0" applyFont="1" applyFill="1" applyBorder="1" applyAlignment="1" applyProtection="1"/>
    <xf numFmtId="0" fontId="14" fillId="0" borderId="46" xfId="0" applyFont="1" applyFill="1" applyBorder="1" applyAlignment="1" applyProtection="1">
      <alignment horizontal="left"/>
    </xf>
    <xf numFmtId="0" fontId="27" fillId="0" borderId="18" xfId="0" applyFont="1" applyFill="1" applyBorder="1" applyAlignment="1" applyProtection="1">
      <alignment horizontal="center"/>
    </xf>
    <xf numFmtId="44" fontId="56" fillId="8" borderId="17" xfId="1" applyFont="1" applyFill="1" applyBorder="1" applyAlignment="1" applyProtection="1">
      <alignment horizontal="center"/>
      <protection locked="0"/>
    </xf>
    <xf numFmtId="8" fontId="56" fillId="0" borderId="0" xfId="1" applyNumberFormat="1" applyFont="1" applyFill="1" applyBorder="1" applyAlignment="1" applyProtection="1">
      <alignment horizontal="center"/>
    </xf>
    <xf numFmtId="8" fontId="57" fillId="0" borderId="19" xfId="0" applyNumberFormat="1" applyFont="1" applyFill="1" applyBorder="1" applyAlignment="1" applyProtection="1">
      <alignment horizontal="center"/>
    </xf>
    <xf numFmtId="8" fontId="57" fillId="0" borderId="0" xfId="0" applyNumberFormat="1" applyFont="1" applyFill="1" applyBorder="1" applyAlignment="1" applyProtection="1">
      <alignment horizontal="center"/>
    </xf>
    <xf numFmtId="8" fontId="15" fillId="0" borderId="0" xfId="1" applyNumberFormat="1" applyFont="1" applyFill="1" applyBorder="1" applyAlignment="1" applyProtection="1">
      <alignment horizontal="center"/>
    </xf>
    <xf numFmtId="8" fontId="18" fillId="0" borderId="5" xfId="0" applyNumberFormat="1" applyFont="1" applyFill="1" applyBorder="1" applyAlignment="1" applyProtection="1">
      <alignment horizontal="center"/>
    </xf>
    <xf numFmtId="0" fontId="56" fillId="8" borderId="17" xfId="0" applyNumberFormat="1" applyFont="1" applyFill="1" applyBorder="1" applyAlignment="1" applyProtection="1">
      <alignment horizontal="center"/>
      <protection locked="0"/>
    </xf>
    <xf numFmtId="8" fontId="18" fillId="0" borderId="0" xfId="0" applyNumberFormat="1" applyFont="1" applyFill="1" applyBorder="1" applyAlignment="1" applyProtection="1">
      <alignment horizontal="center"/>
    </xf>
    <xf numFmtId="8" fontId="18" fillId="0" borderId="19" xfId="0" applyNumberFormat="1" applyFont="1" applyFill="1" applyBorder="1" applyAlignment="1" applyProtection="1">
      <alignment horizontal="center"/>
    </xf>
    <xf numFmtId="8" fontId="14" fillId="0" borderId="19" xfId="0" applyNumberFormat="1" applyFont="1" applyFill="1" applyBorder="1" applyAlignment="1" applyProtection="1">
      <alignment horizontal="center"/>
    </xf>
    <xf numFmtId="8" fontId="14" fillId="0" borderId="0" xfId="0" applyNumberFormat="1" applyFont="1" applyFill="1" applyBorder="1" applyAlignment="1" applyProtection="1">
      <alignment horizontal="center"/>
    </xf>
    <xf numFmtId="8" fontId="14" fillId="0" borderId="5" xfId="0" applyNumberFormat="1" applyFont="1" applyFill="1" applyBorder="1" applyAlignment="1" applyProtection="1">
      <alignment horizontal="center"/>
    </xf>
    <xf numFmtId="0" fontId="56" fillId="0" borderId="18" xfId="0" applyNumberFormat="1" applyFont="1" applyFill="1" applyBorder="1" applyAlignment="1" applyProtection="1">
      <alignment horizontal="center"/>
      <protection locked="0"/>
    </xf>
    <xf numFmtId="44" fontId="18" fillId="0" borderId="18" xfId="0" applyNumberFormat="1" applyFont="1" applyFill="1" applyBorder="1" applyAlignment="1" applyProtection="1">
      <alignment horizontal="center"/>
    </xf>
    <xf numFmtId="44" fontId="18" fillId="0" borderId="18" xfId="1" applyFont="1" applyFill="1" applyBorder="1" applyAlignment="1" applyProtection="1">
      <alignment horizontal="center"/>
    </xf>
    <xf numFmtId="8" fontId="56" fillId="0" borderId="18" xfId="0" applyNumberFormat="1" applyFont="1" applyFill="1" applyBorder="1" applyAlignment="1" applyProtection="1">
      <alignment horizontal="center"/>
      <protection locked="0"/>
    </xf>
    <xf numFmtId="8" fontId="6" fillId="0" borderId="32" xfId="0" applyNumberFormat="1" applyFont="1" applyFill="1" applyBorder="1" applyAlignment="1" applyProtection="1">
      <alignment horizontal="center"/>
    </xf>
    <xf numFmtId="8" fontId="15" fillId="0" borderId="32" xfId="0" applyNumberFormat="1" applyFont="1" applyFill="1" applyBorder="1" applyAlignment="1" applyProtection="1">
      <alignment horizontal="center"/>
    </xf>
    <xf numFmtId="8" fontId="15" fillId="0" borderId="0" xfId="0" applyNumberFormat="1" applyFont="1" applyFill="1" applyBorder="1" applyAlignment="1" applyProtection="1">
      <alignment horizontal="center"/>
    </xf>
    <xf numFmtId="8" fontId="15" fillId="0" borderId="34" xfId="0" applyNumberFormat="1" applyFont="1" applyFill="1" applyBorder="1" applyAlignment="1" applyProtection="1">
      <alignment horizontal="center"/>
    </xf>
    <xf numFmtId="44" fontId="58" fillId="0" borderId="40" xfId="1" applyFont="1" applyFill="1" applyBorder="1" applyAlignment="1" applyProtection="1">
      <alignment horizontal="center"/>
    </xf>
    <xf numFmtId="8" fontId="58" fillId="0" borderId="40" xfId="1" applyNumberFormat="1" applyFont="1" applyFill="1" applyBorder="1" applyAlignment="1" applyProtection="1">
      <alignment horizontal="center"/>
    </xf>
    <xf numFmtId="8" fontId="59" fillId="0" borderId="40" xfId="0" applyNumberFormat="1" applyFont="1" applyFill="1" applyBorder="1" applyAlignment="1" applyProtection="1">
      <alignment horizontal="center"/>
    </xf>
    <xf numFmtId="44" fontId="59" fillId="0" borderId="40" xfId="1" applyFont="1" applyFill="1" applyBorder="1" applyAlignment="1" applyProtection="1">
      <alignment horizontal="center"/>
    </xf>
    <xf numFmtId="44" fontId="59" fillId="0" borderId="50" xfId="1" applyFont="1" applyFill="1" applyBorder="1" applyAlignment="1" applyProtection="1">
      <alignment horizontal="center"/>
    </xf>
    <xf numFmtId="8" fontId="14" fillId="0" borderId="18" xfId="0" applyNumberFormat="1" applyFont="1" applyFill="1" applyBorder="1" applyAlignment="1" applyProtection="1">
      <alignment horizontal="center"/>
    </xf>
    <xf numFmtId="8" fontId="37" fillId="0" borderId="18" xfId="0" applyNumberFormat="1" applyFont="1" applyFill="1" applyBorder="1" applyAlignment="1" applyProtection="1">
      <alignment horizontal="center"/>
    </xf>
    <xf numFmtId="8" fontId="37" fillId="0" borderId="0" xfId="0" applyNumberFormat="1" applyFont="1" applyFill="1" applyBorder="1" applyAlignment="1" applyProtection="1">
      <alignment horizontal="center"/>
    </xf>
    <xf numFmtId="8" fontId="6" fillId="0" borderId="20" xfId="0" applyNumberFormat="1" applyFont="1" applyFill="1" applyBorder="1" applyAlignment="1" applyProtection="1">
      <alignment horizontal="center"/>
    </xf>
    <xf numFmtId="8" fontId="6" fillId="0" borderId="8" xfId="0" applyNumberFormat="1" applyFont="1" applyFill="1" applyBorder="1" applyAlignment="1" applyProtection="1">
      <alignment horizontal="center"/>
    </xf>
    <xf numFmtId="8" fontId="15" fillId="0" borderId="21" xfId="0" applyNumberFormat="1" applyFont="1" applyFill="1" applyBorder="1" applyAlignment="1" applyProtection="1">
      <alignment horizontal="center"/>
    </xf>
    <xf numFmtId="8" fontId="15" fillId="0" borderId="9" xfId="0" applyNumberFormat="1" applyFont="1" applyFill="1" applyBorder="1" applyAlignment="1" applyProtection="1">
      <alignment horizontal="center"/>
    </xf>
    <xf numFmtId="44" fontId="18" fillId="0" borderId="31" xfId="1" applyNumberFormat="1" applyFont="1" applyFill="1" applyBorder="1" applyAlignment="1" applyProtection="1">
      <alignment horizontal="center"/>
    </xf>
    <xf numFmtId="8" fontId="18" fillId="0" borderId="31" xfId="1" applyNumberFormat="1" applyFont="1" applyFill="1" applyBorder="1" applyAlignment="1" applyProtection="1">
      <alignment horizontal="center"/>
    </xf>
    <xf numFmtId="44" fontId="18" fillId="0" borderId="31" xfId="0" applyNumberFormat="1" applyFont="1" applyFill="1" applyBorder="1" applyAlignment="1" applyProtection="1">
      <alignment horizontal="center"/>
    </xf>
    <xf numFmtId="44" fontId="14" fillId="0" borderId="31" xfId="1" applyFont="1" applyFill="1" applyBorder="1" applyAlignment="1" applyProtection="1">
      <alignment horizontal="center"/>
    </xf>
    <xf numFmtId="8" fontId="14" fillId="0" borderId="31" xfId="1" applyNumberFormat="1" applyFont="1" applyFill="1" applyBorder="1" applyAlignment="1" applyProtection="1">
      <alignment horizontal="center"/>
    </xf>
    <xf numFmtId="44" fontId="18" fillId="0" borderId="31" xfId="1" applyFont="1" applyFill="1" applyBorder="1" applyAlignment="1" applyProtection="1">
      <alignment horizontal="center"/>
    </xf>
    <xf numFmtId="44" fontId="18" fillId="0" borderId="30" xfId="1" applyFont="1" applyFill="1" applyBorder="1" applyAlignment="1" applyProtection="1">
      <alignment horizontal="center"/>
    </xf>
    <xf numFmtId="44" fontId="59" fillId="0" borderId="39" xfId="0" applyNumberFormat="1" applyFont="1" applyFill="1" applyBorder="1" applyAlignment="1" applyProtection="1">
      <alignment horizontal="center"/>
    </xf>
    <xf numFmtId="44" fontId="59" fillId="0" borderId="40" xfId="0" applyNumberFormat="1" applyFont="1" applyFill="1" applyBorder="1" applyAlignment="1" applyProtection="1">
      <alignment horizontal="center"/>
    </xf>
    <xf numFmtId="44" fontId="59" fillId="0" borderId="41" xfId="0" applyNumberFormat="1" applyFont="1" applyFill="1" applyBorder="1" applyAlignment="1" applyProtection="1">
      <alignment horizontal="center"/>
    </xf>
    <xf numFmtId="8" fontId="59" fillId="0" borderId="0" xfId="0" applyNumberFormat="1" applyFont="1" applyFill="1" applyBorder="1" applyAlignment="1" applyProtection="1">
      <alignment horizontal="center"/>
    </xf>
    <xf numFmtId="44" fontId="59" fillId="0" borderId="39" xfId="1" applyFont="1" applyFill="1" applyBorder="1" applyAlignment="1" applyProtection="1">
      <alignment horizontal="center"/>
    </xf>
    <xf numFmtId="44" fontId="59" fillId="0" borderId="41" xfId="1" applyFont="1" applyFill="1" applyBorder="1" applyAlignment="1" applyProtection="1">
      <alignment horizontal="center"/>
    </xf>
    <xf numFmtId="44" fontId="59" fillId="0" borderId="29" xfId="1" applyFont="1" applyFill="1" applyBorder="1" applyAlignment="1" applyProtection="1">
      <alignment horizontal="center"/>
    </xf>
    <xf numFmtId="8" fontId="60" fillId="0" borderId="17" xfId="0" applyNumberFormat="1" applyFont="1" applyFill="1" applyBorder="1" applyAlignment="1" applyProtection="1">
      <alignment horizontal="center"/>
    </xf>
    <xf numFmtId="165" fontId="60" fillId="0" borderId="17" xfId="0" applyNumberFormat="1" applyFont="1" applyFill="1" applyBorder="1" applyAlignment="1" applyProtection="1">
      <alignment horizontal="center"/>
    </xf>
    <xf numFmtId="165" fontId="60" fillId="0" borderId="31" xfId="0" applyNumberFormat="1" applyFont="1" applyFill="1" applyBorder="1" applyAlignment="1" applyProtection="1">
      <alignment horizontal="center"/>
    </xf>
    <xf numFmtId="8" fontId="60" fillId="0" borderId="33" xfId="0" applyNumberFormat="1" applyFont="1" applyFill="1" applyBorder="1" applyAlignment="1" applyProtection="1">
      <alignment horizontal="center"/>
    </xf>
    <xf numFmtId="8" fontId="59" fillId="0" borderId="18" xfId="0" applyNumberFormat="1" applyFont="1" applyFill="1" applyBorder="1" applyAlignment="1" applyProtection="1">
      <alignment horizontal="center"/>
    </xf>
    <xf numFmtId="8" fontId="59" fillId="0" borderId="0" xfId="1" applyNumberFormat="1" applyFont="1" applyFill="1" applyBorder="1" applyAlignment="1" applyProtection="1">
      <alignment horizontal="center"/>
    </xf>
    <xf numFmtId="44" fontId="18" fillId="0" borderId="32" xfId="1" applyFont="1" applyFill="1" applyBorder="1" applyAlignment="1" applyProtection="1">
      <alignment horizontal="center"/>
    </xf>
    <xf numFmtId="44" fontId="59" fillId="0" borderId="17" xfId="1" applyFont="1" applyFill="1" applyBorder="1" applyAlignment="1" applyProtection="1">
      <alignment horizontal="center"/>
    </xf>
    <xf numFmtId="8" fontId="59" fillId="0" borderId="22" xfId="1" applyNumberFormat="1" applyFont="1" applyFill="1" applyBorder="1" applyAlignment="1" applyProtection="1">
      <alignment horizontal="center"/>
    </xf>
    <xf numFmtId="44" fontId="59" fillId="0" borderId="11" xfId="1" applyFont="1" applyFill="1" applyBorder="1" applyAlignment="1" applyProtection="1">
      <alignment horizontal="center"/>
    </xf>
    <xf numFmtId="44" fontId="59" fillId="0" borderId="28" xfId="1" applyFont="1" applyFill="1" applyBorder="1" applyAlignment="1" applyProtection="1">
      <alignment horizontal="center"/>
    </xf>
    <xf numFmtId="44" fontId="59" fillId="0" borderId="15" xfId="1" applyFont="1" applyFill="1" applyBorder="1" applyAlignment="1" applyProtection="1">
      <alignment horizontal="center"/>
    </xf>
    <xf numFmtId="8" fontId="60" fillId="0" borderId="22" xfId="0" applyNumberFormat="1" applyFont="1" applyFill="1" applyBorder="1" applyAlignment="1" applyProtection="1">
      <alignment horizontal="center"/>
    </xf>
    <xf numFmtId="8" fontId="60" fillId="0" borderId="0" xfId="0" applyNumberFormat="1" applyFont="1" applyFill="1" applyBorder="1" applyAlignment="1" applyProtection="1">
      <alignment horizontal="center"/>
    </xf>
    <xf numFmtId="8" fontId="60" fillId="0" borderId="23" xfId="0" applyNumberFormat="1" applyFont="1" applyFill="1" applyBorder="1" applyAlignment="1" applyProtection="1">
      <alignment horizontal="center"/>
    </xf>
    <xf numFmtId="0" fontId="6" fillId="7" borderId="51" xfId="0" applyFont="1" applyFill="1" applyBorder="1" applyAlignment="1" applyProtection="1">
      <alignment horizontal="center"/>
    </xf>
    <xf numFmtId="0" fontId="14" fillId="0" borderId="49" xfId="0" applyFont="1" applyFill="1" applyBorder="1" applyAlignment="1" applyProtection="1"/>
    <xf numFmtId="0" fontId="14" fillId="0" borderId="44" xfId="0" applyFont="1" applyFill="1" applyBorder="1" applyAlignment="1" applyProtection="1"/>
    <xf numFmtId="0" fontId="58" fillId="0" borderId="44" xfId="0" applyFont="1" applyFill="1" applyBorder="1" applyAlignment="1" applyProtection="1">
      <alignment horizontal="left"/>
    </xf>
    <xf numFmtId="0" fontId="58" fillId="0" borderId="47" xfId="0" applyFont="1" applyFill="1" applyBorder="1" applyAlignment="1" applyProtection="1">
      <alignment horizontal="left"/>
    </xf>
    <xf numFmtId="0" fontId="58" fillId="0" borderId="46" xfId="0" applyFont="1" applyFill="1" applyBorder="1" applyAlignment="1" applyProtection="1">
      <alignment horizontal="left" indent="2"/>
    </xf>
    <xf numFmtId="0" fontId="14" fillId="0" borderId="46" xfId="0" applyFont="1" applyFill="1" applyBorder="1" applyAlignment="1" applyProtection="1">
      <alignment horizontal="left" indent="2"/>
    </xf>
    <xf numFmtId="0" fontId="14" fillId="0" borderId="46" xfId="0" applyFont="1" applyBorder="1" applyAlignment="1" applyProtection="1">
      <alignment horizontal="left" indent="2"/>
      <protection locked="0"/>
    </xf>
    <xf numFmtId="0" fontId="58" fillId="0" borderId="51" xfId="0" applyFont="1" applyFill="1" applyBorder="1" applyAlignment="1" applyProtection="1">
      <alignment horizontal="left"/>
    </xf>
    <xf numFmtId="0" fontId="58" fillId="0" borderId="48" xfId="0" applyFont="1" applyFill="1" applyBorder="1" applyAlignment="1" applyProtection="1">
      <alignment horizontal="left"/>
    </xf>
    <xf numFmtId="44" fontId="14" fillId="0" borderId="31" xfId="1" applyNumberFormat="1" applyFont="1" applyFill="1" applyBorder="1" applyAlignment="1" applyProtection="1">
      <alignment horizontal="center"/>
    </xf>
    <xf numFmtId="44" fontId="59" fillId="0" borderId="32" xfId="1" applyFont="1" applyFill="1" applyBorder="1" applyAlignment="1" applyProtection="1">
      <alignment horizontal="center"/>
    </xf>
    <xf numFmtId="8" fontId="59" fillId="0" borderId="31" xfId="0" applyNumberFormat="1" applyFont="1" applyFill="1" applyBorder="1" applyAlignment="1" applyProtection="1">
      <alignment horizontal="center"/>
    </xf>
    <xf numFmtId="44" fontId="59" fillId="0" borderId="34" xfId="1" applyFont="1" applyFill="1" applyBorder="1" applyAlignment="1" applyProtection="1">
      <alignment horizontal="center"/>
    </xf>
    <xf numFmtId="8" fontId="59" fillId="0" borderId="28" xfId="0" applyNumberFormat="1" applyFont="1" applyFill="1" applyBorder="1" applyAlignment="1" applyProtection="1">
      <alignment horizontal="center"/>
    </xf>
    <xf numFmtId="8" fontId="60" fillId="0" borderId="31" xfId="0" applyNumberFormat="1" applyFont="1" applyFill="1" applyBorder="1" applyAlignment="1" applyProtection="1">
      <alignment horizontal="center"/>
    </xf>
    <xf numFmtId="8" fontId="61" fillId="0" borderId="18" xfId="0" applyNumberFormat="1" applyFont="1" applyFill="1" applyBorder="1" applyAlignment="1" applyProtection="1">
      <alignment horizontal="center"/>
    </xf>
    <xf numFmtId="8" fontId="61" fillId="0" borderId="0" xfId="0" applyNumberFormat="1" applyFont="1" applyFill="1" applyBorder="1" applyAlignment="1" applyProtection="1">
      <alignment horizontal="center"/>
    </xf>
    <xf numFmtId="8" fontId="61" fillId="0" borderId="19" xfId="0" applyNumberFormat="1" applyFont="1" applyFill="1" applyBorder="1" applyAlignment="1" applyProtection="1">
      <alignment horizontal="center"/>
    </xf>
    <xf numFmtId="8" fontId="61" fillId="0" borderId="5" xfId="0" applyNumberFormat="1" applyFont="1" applyFill="1" applyBorder="1" applyAlignment="1" applyProtection="1">
      <alignment horizontal="center"/>
    </xf>
    <xf numFmtId="9" fontId="6" fillId="7" borderId="36" xfId="2" applyFont="1" applyFill="1" applyBorder="1" applyAlignment="1" applyProtection="1">
      <alignment horizontal="center"/>
    </xf>
    <xf numFmtId="9" fontId="6" fillId="0" borderId="0" xfId="0" applyNumberFormat="1" applyFont="1" applyFill="1" applyBorder="1" applyAlignment="1" applyProtection="1">
      <alignment horizontal="center"/>
    </xf>
    <xf numFmtId="0" fontId="14" fillId="0" borderId="0" xfId="0" applyFont="1" applyFill="1" applyBorder="1" applyAlignment="1" applyProtection="1">
      <alignment horizontal="center"/>
    </xf>
    <xf numFmtId="9" fontId="6" fillId="0" borderId="18" xfId="0" applyNumberFormat="1" applyFont="1" applyFill="1" applyBorder="1" applyAlignment="1" applyProtection="1">
      <alignment horizontal="center"/>
    </xf>
    <xf numFmtId="0" fontId="14" fillId="0" borderId="18" xfId="0" applyFont="1" applyFill="1" applyBorder="1" applyAlignment="1" applyProtection="1">
      <alignment horizontal="center"/>
    </xf>
    <xf numFmtId="0" fontId="14" fillId="0" borderId="19" xfId="0" applyFont="1" applyFill="1" applyBorder="1" applyAlignment="1" applyProtection="1">
      <alignment horizontal="center"/>
    </xf>
    <xf numFmtId="0" fontId="14" fillId="0" borderId="5" xfId="0" applyFont="1" applyFill="1" applyBorder="1" applyAlignment="1" applyProtection="1">
      <alignment horizontal="center"/>
    </xf>
    <xf numFmtId="0" fontId="58" fillId="0" borderId="4" xfId="0" applyFont="1" applyFill="1" applyBorder="1" applyAlignment="1" applyProtection="1">
      <alignment horizontal="left"/>
    </xf>
    <xf numFmtId="165" fontId="6" fillId="7" borderId="32" xfId="0" applyNumberFormat="1" applyFont="1" applyFill="1" applyBorder="1" applyAlignment="1" applyProtection="1">
      <alignment horizontal="center"/>
    </xf>
    <xf numFmtId="165" fontId="6" fillId="0" borderId="0" xfId="0" applyNumberFormat="1" applyFont="1" applyFill="1" applyBorder="1" applyAlignment="1" applyProtection="1">
      <alignment horizontal="left"/>
    </xf>
    <xf numFmtId="165" fontId="6" fillId="0" borderId="19" xfId="0" applyNumberFormat="1" applyFont="1" applyFill="1" applyBorder="1" applyAlignment="1" applyProtection="1">
      <alignment horizontal="center"/>
    </xf>
    <xf numFmtId="165" fontId="6" fillId="0" borderId="0" xfId="0" applyNumberFormat="1" applyFont="1" applyFill="1" applyBorder="1" applyAlignment="1" applyProtection="1">
      <alignment horizontal="center"/>
    </xf>
    <xf numFmtId="165" fontId="6" fillId="0" borderId="5" xfId="0" applyNumberFormat="1" applyFont="1" applyFill="1" applyBorder="1" applyAlignment="1" applyProtection="1">
      <alignment horizontal="center"/>
    </xf>
    <xf numFmtId="2" fontId="6" fillId="7" borderId="22" xfId="0" applyNumberFormat="1" applyFont="1" applyFill="1" applyBorder="1" applyAlignment="1" applyProtection="1">
      <alignment horizontal="center"/>
    </xf>
    <xf numFmtId="2" fontId="6" fillId="0" borderId="0" xfId="0" applyNumberFormat="1" applyFont="1" applyFill="1" applyBorder="1" applyAlignment="1" applyProtection="1">
      <alignment horizontal="left"/>
    </xf>
    <xf numFmtId="2" fontId="6" fillId="0" borderId="19" xfId="0" applyNumberFormat="1" applyFont="1" applyFill="1" applyBorder="1" applyAlignment="1" applyProtection="1">
      <alignment horizontal="center"/>
    </xf>
    <xf numFmtId="2" fontId="6" fillId="0" borderId="0" xfId="0" applyNumberFormat="1" applyFont="1" applyFill="1" applyBorder="1" applyAlignment="1" applyProtection="1">
      <alignment horizontal="center"/>
    </xf>
    <xf numFmtId="2" fontId="6" fillId="0" borderId="5" xfId="0" applyNumberFormat="1" applyFont="1" applyFill="1" applyBorder="1" applyAlignment="1" applyProtection="1">
      <alignment horizontal="center"/>
    </xf>
    <xf numFmtId="0" fontId="14" fillId="0" borderId="4" xfId="0" applyFont="1" applyFill="1" applyBorder="1" applyAlignment="1" applyProtection="1"/>
    <xf numFmtId="2" fontId="6" fillId="0" borderId="18" xfId="0" applyNumberFormat="1" applyFont="1" applyFill="1" applyBorder="1" applyAlignment="1" applyProtection="1">
      <alignment horizontal="center"/>
    </xf>
    <xf numFmtId="0" fontId="6" fillId="0" borderId="59" xfId="0" applyFont="1" applyFill="1" applyBorder="1" applyAlignment="1" applyProtection="1">
      <alignment horizontal="left"/>
    </xf>
    <xf numFmtId="2" fontId="6" fillId="0" borderId="58" xfId="0" applyNumberFormat="1" applyFont="1" applyFill="1" applyBorder="1" applyAlignment="1" applyProtection="1">
      <alignment horizontal="center"/>
    </xf>
    <xf numFmtId="2" fontId="6" fillId="0" borderId="59" xfId="0" applyNumberFormat="1" applyFont="1" applyFill="1" applyBorder="1" applyAlignment="1" applyProtection="1">
      <alignment horizontal="center"/>
    </xf>
    <xf numFmtId="2" fontId="6" fillId="0" borderId="42" xfId="0" applyNumberFormat="1" applyFont="1" applyFill="1" applyBorder="1" applyAlignment="1" applyProtection="1">
      <alignment horizontal="center"/>
    </xf>
    <xf numFmtId="2" fontId="6" fillId="0" borderId="65" xfId="0" applyNumberFormat="1" applyFont="1" applyFill="1" applyBorder="1" applyAlignment="1" applyProtection="1">
      <alignment horizontal="center"/>
    </xf>
    <xf numFmtId="0" fontId="6" fillId="0" borderId="4" xfId="0" applyFont="1" applyFill="1" applyBorder="1" applyAlignment="1" applyProtection="1">
      <protection locked="0"/>
    </xf>
    <xf numFmtId="0" fontId="6" fillId="0" borderId="0" xfId="0" applyFont="1" applyFill="1" applyBorder="1" applyAlignment="1" applyProtection="1">
      <protection locked="0"/>
    </xf>
    <xf numFmtId="0" fontId="21" fillId="6" borderId="17" xfId="0" applyFont="1" applyFill="1" applyBorder="1" applyAlignment="1" applyProtection="1">
      <alignment horizontal="center"/>
      <protection locked="0"/>
    </xf>
    <xf numFmtId="0" fontId="21" fillId="6" borderId="33" xfId="0" applyFont="1" applyFill="1" applyBorder="1" applyAlignment="1" applyProtection="1">
      <alignment horizontal="center"/>
      <protection locked="0"/>
    </xf>
    <xf numFmtId="1" fontId="15" fillId="0" borderId="17" xfId="0" applyNumberFormat="1" applyFont="1" applyFill="1" applyBorder="1" applyAlignment="1" applyProtection="1">
      <alignment horizontal="center"/>
      <protection locked="0"/>
    </xf>
    <xf numFmtId="2" fontId="15" fillId="0" borderId="17" xfId="0" applyNumberFormat="1" applyFont="1" applyFill="1" applyBorder="1" applyAlignment="1" applyProtection="1">
      <alignment horizontal="center"/>
      <protection locked="0"/>
    </xf>
    <xf numFmtId="0" fontId="6" fillId="0" borderId="4" xfId="0" applyFont="1" applyFill="1" applyBorder="1" applyAlignment="1" applyProtection="1"/>
    <xf numFmtId="0" fontId="21" fillId="5" borderId="17" xfId="0" applyFont="1" applyFill="1" applyBorder="1" applyAlignment="1" applyProtection="1">
      <alignment horizontal="center"/>
    </xf>
    <xf numFmtId="0" fontId="21" fillId="5" borderId="33" xfId="0" applyFont="1" applyFill="1" applyBorder="1" applyAlignment="1" applyProtection="1">
      <alignment horizontal="center"/>
    </xf>
    <xf numFmtId="1" fontId="15" fillId="0" borderId="17" xfId="0" applyNumberFormat="1" applyFont="1" applyFill="1" applyBorder="1" applyAlignment="1" applyProtection="1">
      <alignment horizontal="center"/>
    </xf>
    <xf numFmtId="0" fontId="15" fillId="0" borderId="0" xfId="0" applyFont="1" applyFill="1" applyBorder="1" applyAlignment="1" applyProtection="1">
      <alignment horizontal="center"/>
    </xf>
    <xf numFmtId="1" fontId="15" fillId="0" borderId="33" xfId="0" applyNumberFormat="1" applyFont="1" applyFill="1" applyBorder="1" applyAlignment="1" applyProtection="1">
      <alignment horizontal="center"/>
    </xf>
    <xf numFmtId="2" fontId="15" fillId="0" borderId="17" xfId="0" applyNumberFormat="1" applyFont="1" applyFill="1" applyBorder="1" applyAlignment="1" applyProtection="1">
      <alignment horizontal="center"/>
    </xf>
    <xf numFmtId="0" fontId="15" fillId="0" borderId="31" xfId="0" applyFont="1" applyFill="1" applyBorder="1" applyAlignment="1" applyProtection="1">
      <alignment horizontal="center"/>
    </xf>
    <xf numFmtId="2" fontId="15" fillId="0" borderId="33" xfId="0" applyNumberFormat="1" applyFont="1" applyFill="1" applyBorder="1" applyAlignment="1" applyProtection="1">
      <alignment horizontal="center"/>
    </xf>
    <xf numFmtId="2" fontId="15" fillId="0" borderId="0" xfId="0" applyNumberFormat="1" applyFont="1" applyFill="1" applyBorder="1" applyAlignment="1" applyProtection="1">
      <alignment horizontal="center"/>
    </xf>
    <xf numFmtId="2" fontId="15" fillId="0" borderId="5" xfId="0" applyNumberFormat="1" applyFont="1" applyFill="1" applyBorder="1" applyAlignment="1" applyProtection="1">
      <alignment horizontal="center"/>
    </xf>
    <xf numFmtId="0" fontId="14" fillId="0" borderId="4" xfId="0" applyFont="1" applyFill="1" applyBorder="1" applyAlignment="1" applyProtection="1">
      <alignment horizontal="center"/>
    </xf>
    <xf numFmtId="0" fontId="61" fillId="7" borderId="49" xfId="0" applyFont="1" applyFill="1" applyBorder="1" applyAlignment="1" applyProtection="1">
      <alignment horizontal="center"/>
    </xf>
    <xf numFmtId="0" fontId="61" fillId="7" borderId="46" xfId="0" applyFont="1" applyFill="1" applyBorder="1" applyAlignment="1" applyProtection="1">
      <alignment horizontal="center"/>
    </xf>
    <xf numFmtId="0" fontId="33" fillId="0" borderId="12" xfId="0" applyFont="1" applyFill="1" applyBorder="1" applyAlignment="1" applyProtection="1">
      <alignment horizontal="right" vertical="center"/>
    </xf>
    <xf numFmtId="2" fontId="30" fillId="0" borderId="0" xfId="0" applyNumberFormat="1" applyFont="1" applyFill="1" applyBorder="1" applyAlignment="1" applyProtection="1">
      <alignment horizontal="right"/>
      <protection locked="0"/>
    </xf>
    <xf numFmtId="44" fontId="32" fillId="8" borderId="17" xfId="0" applyNumberFormat="1" applyFont="1" applyFill="1" applyBorder="1" applyProtection="1">
      <protection locked="0"/>
    </xf>
    <xf numFmtId="0" fontId="30" fillId="0" borderId="0" xfId="0" applyFont="1" applyProtection="1">
      <protection locked="0"/>
    </xf>
    <xf numFmtId="0" fontId="12" fillId="0" borderId="4" xfId="0" applyFont="1" applyFill="1" applyBorder="1" applyAlignment="1" applyProtection="1">
      <alignment horizontal="left" vertical="center"/>
    </xf>
    <xf numFmtId="0" fontId="9" fillId="0" borderId="0" xfId="0" applyFont="1" applyFill="1" applyBorder="1" applyAlignment="1" applyProtection="1">
      <alignment horizontal="right" vertical="center"/>
    </xf>
    <xf numFmtId="0" fontId="8" fillId="0" borderId="0" xfId="0" applyFont="1" applyFill="1" applyBorder="1" applyAlignment="1" applyProtection="1">
      <alignment horizontal="right"/>
    </xf>
    <xf numFmtId="0" fontId="8" fillId="0" borderId="5" xfId="0" applyFont="1" applyFill="1" applyBorder="1" applyAlignment="1" applyProtection="1">
      <alignment horizontal="center"/>
    </xf>
    <xf numFmtId="0" fontId="3" fillId="0" borderId="0" xfId="0" applyFont="1" applyBorder="1" applyProtection="1"/>
    <xf numFmtId="0" fontId="24" fillId="0" borderId="0" xfId="0" applyFont="1" applyBorder="1" applyProtection="1"/>
    <xf numFmtId="0" fontId="9" fillId="0" borderId="0" xfId="0" applyFont="1" applyFill="1" applyBorder="1" applyProtection="1"/>
    <xf numFmtId="0" fontId="9" fillId="0" borderId="0" xfId="0" applyFont="1" applyFill="1" applyBorder="1" applyAlignment="1" applyProtection="1">
      <alignment horizontal="center" wrapText="1"/>
    </xf>
    <xf numFmtId="0" fontId="3" fillId="0" borderId="0" xfId="0" applyFont="1" applyFill="1" applyBorder="1" applyAlignment="1" applyProtection="1">
      <alignment horizontal="center" wrapText="1"/>
    </xf>
    <xf numFmtId="0" fontId="3" fillId="0" borderId="5" xfId="0" applyFont="1" applyFill="1" applyBorder="1" applyAlignment="1" applyProtection="1">
      <alignment horizontal="center" wrapText="1"/>
    </xf>
    <xf numFmtId="0" fontId="32" fillId="8" borderId="51" xfId="0" applyFont="1" applyFill="1" applyBorder="1" applyProtection="1">
      <protection locked="0"/>
    </xf>
    <xf numFmtId="164" fontId="32" fillId="8" borderId="17" xfId="1" applyNumberFormat="1" applyFont="1" applyFill="1" applyBorder="1" applyAlignment="1" applyProtection="1">
      <alignment horizontal="center"/>
      <protection locked="0"/>
    </xf>
    <xf numFmtId="0" fontId="30" fillId="0" borderId="0" xfId="0" applyFont="1" applyFill="1" applyBorder="1" applyAlignment="1" applyProtection="1">
      <alignment horizontal="center"/>
      <protection locked="0"/>
    </xf>
    <xf numFmtId="167" fontId="32" fillId="8" borderId="17" xfId="2" applyNumberFormat="1" applyFont="1" applyFill="1" applyBorder="1" applyAlignment="1" applyProtection="1">
      <alignment horizontal="center"/>
      <protection locked="0"/>
    </xf>
    <xf numFmtId="165" fontId="3" fillId="0" borderId="0" xfId="0" applyNumberFormat="1" applyFont="1" applyFill="1" applyBorder="1" applyAlignment="1" applyProtection="1">
      <alignment horizontal="center"/>
    </xf>
    <xf numFmtId="165" fontId="3" fillId="0" borderId="5" xfId="0" applyNumberFormat="1" applyFont="1" applyFill="1" applyBorder="1" applyAlignment="1" applyProtection="1">
      <alignment horizontal="center"/>
    </xf>
    <xf numFmtId="0" fontId="3" fillId="0" borderId="18" xfId="0" applyFont="1" applyBorder="1" applyProtection="1">
      <protection locked="0"/>
    </xf>
    <xf numFmtId="0" fontId="24" fillId="0" borderId="0" xfId="0" applyFont="1" applyBorder="1" applyProtection="1">
      <protection locked="0"/>
    </xf>
    <xf numFmtId="0" fontId="3" fillId="0" borderId="0" xfId="0" applyFont="1" applyBorder="1" applyProtection="1">
      <protection locked="0"/>
    </xf>
    <xf numFmtId="167" fontId="32" fillId="8" borderId="17" xfId="0" applyNumberFormat="1" applyFont="1" applyFill="1" applyBorder="1" applyAlignment="1" applyProtection="1">
      <alignment horizontal="center"/>
      <protection locked="0"/>
    </xf>
    <xf numFmtId="0" fontId="3" fillId="0" borderId="18" xfId="0" applyFont="1" applyBorder="1" applyProtection="1"/>
    <xf numFmtId="0" fontId="9" fillId="0" borderId="20" xfId="0" applyFont="1" applyBorder="1" applyAlignment="1" applyProtection="1">
      <alignment horizontal="center"/>
    </xf>
    <xf numFmtId="0" fontId="9" fillId="0" borderId="8" xfId="0" applyFont="1" applyBorder="1" applyAlignment="1" applyProtection="1">
      <alignment horizontal="center"/>
    </xf>
    <xf numFmtId="0" fontId="9" fillId="0" borderId="21" xfId="0" applyFont="1" applyBorder="1" applyAlignment="1" applyProtection="1">
      <alignment horizontal="center"/>
    </xf>
    <xf numFmtId="2" fontId="8" fillId="0" borderId="0" xfId="0" applyNumberFormat="1" applyFont="1" applyFill="1" applyBorder="1" applyAlignment="1" applyProtection="1">
      <alignment horizontal="center"/>
    </xf>
    <xf numFmtId="0" fontId="3" fillId="0" borderId="19" xfId="0" applyFont="1" applyBorder="1" applyProtection="1"/>
    <xf numFmtId="0" fontId="8" fillId="0" borderId="0" xfId="0" applyFont="1" applyBorder="1" applyAlignment="1" applyProtection="1">
      <alignment horizontal="center"/>
    </xf>
    <xf numFmtId="0" fontId="29" fillId="0" borderId="18" xfId="0" applyFont="1" applyBorder="1" applyAlignment="1" applyProtection="1">
      <alignment horizontal="left" indent="2"/>
    </xf>
    <xf numFmtId="8" fontId="9" fillId="0" borderId="0" xfId="0" applyNumberFormat="1" applyFont="1" applyFill="1" applyBorder="1" applyProtection="1"/>
    <xf numFmtId="8" fontId="9" fillId="0" borderId="5" xfId="0" applyNumberFormat="1" applyFont="1" applyFill="1" applyBorder="1" applyProtection="1"/>
    <xf numFmtId="0" fontId="3" fillId="0" borderId="4" xfId="0" applyFont="1" applyBorder="1" applyProtection="1"/>
    <xf numFmtId="0" fontId="3" fillId="0" borderId="5" xfId="0" applyFont="1" applyBorder="1" applyProtection="1"/>
    <xf numFmtId="0" fontId="29" fillId="0" borderId="20" xfId="0" applyFont="1" applyFill="1" applyBorder="1" applyAlignment="1" applyProtection="1">
      <alignment horizontal="left" indent="2"/>
    </xf>
    <xf numFmtId="0" fontId="8" fillId="0" borderId="8" xfId="0" applyFont="1" applyBorder="1" applyAlignment="1" applyProtection="1">
      <alignment horizontal="center"/>
    </xf>
    <xf numFmtId="0" fontId="3" fillId="0" borderId="0" xfId="0" applyFont="1" applyBorder="1" applyAlignment="1" applyProtection="1">
      <protection locked="0"/>
    </xf>
    <xf numFmtId="0" fontId="3" fillId="0" borderId="0" xfId="0" applyFont="1" applyBorder="1" applyAlignment="1" applyProtection="1"/>
    <xf numFmtId="0" fontId="3" fillId="0" borderId="0" xfId="0" applyFont="1" applyBorder="1" applyAlignment="1" applyProtection="1">
      <alignment horizontal="center"/>
      <protection locked="0"/>
    </xf>
    <xf numFmtId="0" fontId="32" fillId="0" borderId="0" xfId="0" applyFont="1" applyBorder="1" applyAlignment="1" applyProtection="1">
      <alignment horizontal="center"/>
    </xf>
    <xf numFmtId="2" fontId="27" fillId="0" borderId="4" xfId="0" applyNumberFormat="1" applyFont="1" applyFill="1" applyBorder="1" applyAlignment="1" applyProtection="1">
      <alignment horizontal="center"/>
    </xf>
    <xf numFmtId="2" fontId="27" fillId="0" borderId="0" xfId="0" applyNumberFormat="1" applyFont="1" applyFill="1" applyBorder="1" applyAlignment="1" applyProtection="1">
      <alignment horizontal="center"/>
    </xf>
    <xf numFmtId="0" fontId="0" fillId="0" borderId="0" xfId="0" applyFont="1" applyFill="1" applyBorder="1" applyProtection="1"/>
    <xf numFmtId="0" fontId="3" fillId="0" borderId="0" xfId="0" applyFont="1" applyAlignment="1">
      <alignment horizontal="center"/>
    </xf>
    <xf numFmtId="0" fontId="3" fillId="0" borderId="0" xfId="0" applyFont="1" applyAlignment="1" applyProtection="1">
      <alignment horizontal="center"/>
    </xf>
    <xf numFmtId="44" fontId="3" fillId="0" borderId="0" xfId="0" applyNumberFormat="1" applyFont="1" applyAlignment="1" applyProtection="1">
      <alignment horizontal="center"/>
    </xf>
    <xf numFmtId="9" fontId="32" fillId="8" borderId="17" xfId="2" applyFont="1" applyFill="1" applyBorder="1" applyAlignment="1" applyProtection="1">
      <alignment horizontal="center"/>
      <protection locked="0"/>
    </xf>
    <xf numFmtId="44" fontId="32" fillId="8" borderId="17" xfId="0" applyNumberFormat="1" applyFont="1" applyFill="1" applyBorder="1" applyAlignment="1" applyProtection="1">
      <alignment horizontal="center"/>
      <protection locked="0"/>
    </xf>
    <xf numFmtId="44" fontId="24" fillId="0" borderId="0" xfId="0" applyNumberFormat="1" applyFont="1" applyAlignment="1" applyProtection="1">
      <alignment horizontal="center"/>
    </xf>
    <xf numFmtId="0" fontId="3" fillId="0" borderId="8" xfId="0" applyFont="1" applyBorder="1"/>
    <xf numFmtId="0" fontId="3" fillId="0" borderId="8" xfId="0" applyFont="1" applyBorder="1" applyAlignment="1" applyProtection="1">
      <alignment horizontal="center"/>
    </xf>
    <xf numFmtId="44" fontId="24" fillId="0" borderId="8" xfId="0" applyNumberFormat="1" applyFont="1" applyBorder="1" applyAlignment="1" applyProtection="1">
      <alignment horizontal="center"/>
    </xf>
    <xf numFmtId="44" fontId="3" fillId="0" borderId="0" xfId="0" applyNumberFormat="1" applyFont="1" applyAlignment="1">
      <alignment horizontal="center"/>
    </xf>
    <xf numFmtId="44" fontId="9" fillId="0" borderId="0" xfId="0" applyNumberFormat="1" applyFont="1" applyProtection="1"/>
    <xf numFmtId="0" fontId="25" fillId="0" borderId="0" xfId="0" applyFont="1" applyFill="1" applyBorder="1" applyAlignment="1" applyProtection="1">
      <alignment horizontal="center"/>
    </xf>
    <xf numFmtId="8" fontId="32" fillId="8" borderId="17" xfId="0" applyNumberFormat="1" applyFont="1" applyFill="1" applyBorder="1" applyAlignment="1" applyProtection="1">
      <alignment horizontal="center"/>
      <protection locked="0"/>
    </xf>
    <xf numFmtId="8" fontId="32" fillId="8" borderId="17" xfId="0" applyNumberFormat="1" applyFont="1" applyFill="1" applyBorder="1" applyProtection="1">
      <protection locked="0"/>
    </xf>
    <xf numFmtId="8" fontId="3" fillId="0" borderId="0" xfId="0" applyNumberFormat="1" applyFont="1"/>
    <xf numFmtId="165" fontId="3" fillId="0" borderId="0" xfId="0" applyNumberFormat="1" applyFont="1" applyAlignment="1">
      <alignment horizontal="center"/>
    </xf>
    <xf numFmtId="0" fontId="9" fillId="0" borderId="8" xfId="0" applyFont="1" applyBorder="1" applyAlignment="1">
      <alignment horizontal="center"/>
    </xf>
    <xf numFmtId="0" fontId="9" fillId="0" borderId="0" xfId="0" applyFont="1" applyAlignment="1">
      <alignment horizontal="center"/>
    </xf>
    <xf numFmtId="0" fontId="3" fillId="0" borderId="0" xfId="0" applyFont="1" applyAlignment="1">
      <alignment horizontal="left"/>
    </xf>
    <xf numFmtId="8" fontId="3" fillId="0" borderId="0" xfId="0" applyNumberFormat="1" applyFont="1" applyAlignment="1">
      <alignment horizontal="center"/>
    </xf>
    <xf numFmtId="6" fontId="32" fillId="8" borderId="17" xfId="0" applyNumberFormat="1" applyFont="1" applyFill="1" applyBorder="1" applyAlignment="1" applyProtection="1">
      <alignment horizontal="center"/>
      <protection locked="0"/>
    </xf>
    <xf numFmtId="8" fontId="11" fillId="0" borderId="17" xfId="0" applyNumberFormat="1" applyFont="1" applyBorder="1" applyAlignment="1">
      <alignment horizontal="center"/>
    </xf>
    <xf numFmtId="0" fontId="3" fillId="0" borderId="0" xfId="0" applyFont="1" applyBorder="1"/>
    <xf numFmtId="0" fontId="3" fillId="0" borderId="8" xfId="0" applyFont="1" applyBorder="1" applyAlignment="1">
      <alignment horizontal="center"/>
    </xf>
    <xf numFmtId="0" fontId="3" fillId="0" borderId="8" xfId="0" applyFont="1" applyBorder="1" applyAlignment="1">
      <alignment horizontal="center" wrapText="1"/>
    </xf>
    <xf numFmtId="0" fontId="3" fillId="0" borderId="59" xfId="0" applyFont="1" applyBorder="1"/>
    <xf numFmtId="0" fontId="3" fillId="0" borderId="59" xfId="0" applyFont="1" applyBorder="1" applyAlignment="1">
      <alignment horizontal="center"/>
    </xf>
    <xf numFmtId="0" fontId="3" fillId="0" borderId="59" xfId="0" applyFont="1" applyBorder="1" applyAlignment="1">
      <alignment horizontal="center" wrapText="1"/>
    </xf>
    <xf numFmtId="0" fontId="3" fillId="0" borderId="0" xfId="0" applyFont="1" applyBorder="1" applyAlignment="1">
      <alignment horizontal="center"/>
    </xf>
    <xf numFmtId="165" fontId="3" fillId="0" borderId="0" xfId="0" applyNumberFormat="1" applyFont="1" applyFill="1" applyBorder="1" applyAlignment="1">
      <alignment horizontal="center"/>
    </xf>
    <xf numFmtId="0" fontId="3" fillId="0" borderId="0" xfId="0" applyFont="1" applyFill="1" applyBorder="1" applyAlignment="1">
      <alignment horizontal="center"/>
    </xf>
    <xf numFmtId="165" fontId="3" fillId="0" borderId="0" xfId="3" applyNumberFormat="1" applyFont="1" applyFill="1" applyBorder="1" applyAlignment="1">
      <alignment horizontal="center"/>
    </xf>
    <xf numFmtId="165" fontId="32" fillId="8" borderId="17" xfId="0" applyNumberFormat="1" applyFont="1" applyFill="1" applyBorder="1" applyAlignment="1">
      <alignment horizontal="center"/>
    </xf>
    <xf numFmtId="0" fontId="62" fillId="0" borderId="0" xfId="0" applyFont="1"/>
    <xf numFmtId="1" fontId="3" fillId="0" borderId="0" xfId="3" applyNumberFormat="1" applyFont="1" applyFill="1" applyBorder="1" applyAlignment="1">
      <alignment horizontal="center"/>
    </xf>
    <xf numFmtId="0" fontId="62" fillId="0" borderId="0" xfId="0" applyFont="1" applyBorder="1" applyAlignment="1"/>
    <xf numFmtId="0" fontId="62" fillId="0" borderId="0" xfId="0" applyFont="1" applyBorder="1"/>
    <xf numFmtId="0" fontId="3" fillId="0" borderId="66" xfId="0" applyFont="1" applyBorder="1"/>
    <xf numFmtId="1" fontId="3" fillId="0" borderId="66" xfId="3" applyNumberFormat="1" applyFont="1" applyFill="1" applyBorder="1" applyAlignment="1">
      <alignment horizontal="center"/>
    </xf>
    <xf numFmtId="0" fontId="3" fillId="0" borderId="66" xfId="0" quotePrefix="1" applyFont="1" applyFill="1" applyBorder="1" applyAlignment="1">
      <alignment horizontal="center"/>
    </xf>
    <xf numFmtId="0" fontId="32" fillId="8" borderId="28" xfId="0" applyFont="1" applyFill="1" applyBorder="1" applyAlignment="1" applyProtection="1">
      <alignment horizontal="center"/>
      <protection locked="0"/>
    </xf>
    <xf numFmtId="0" fontId="62" fillId="0" borderId="66" xfId="0" applyFont="1" applyBorder="1"/>
    <xf numFmtId="5" fontId="32" fillId="8" borderId="17" xfId="3" applyNumberFormat="1" applyFont="1" applyFill="1" applyBorder="1" applyProtection="1"/>
    <xf numFmtId="0" fontId="62" fillId="0" borderId="0" xfId="0" applyFont="1" applyBorder="1" applyAlignment="1">
      <alignment horizontal="left"/>
    </xf>
    <xf numFmtId="0" fontId="3" fillId="0" borderId="0" xfId="0" applyFont="1" applyFill="1"/>
    <xf numFmtId="2" fontId="27" fillId="0" borderId="59" xfId="0" applyNumberFormat="1" applyFont="1" applyFill="1" applyBorder="1" applyAlignment="1" applyProtection="1">
      <alignment horizontal="center"/>
    </xf>
    <xf numFmtId="0" fontId="6" fillId="7" borderId="44" xfId="0" applyFont="1" applyFill="1" applyBorder="1" applyAlignment="1" applyProtection="1">
      <alignment horizontal="center"/>
    </xf>
    <xf numFmtId="0" fontId="21" fillId="10" borderId="17" xfId="0" applyFont="1" applyFill="1" applyBorder="1" applyAlignment="1">
      <alignment horizontal="center"/>
    </xf>
    <xf numFmtId="0" fontId="15" fillId="0" borderId="0" xfId="0" applyFont="1" applyAlignment="1">
      <alignment horizontal="center"/>
    </xf>
    <xf numFmtId="0" fontId="15" fillId="0" borderId="0" xfId="0" applyFont="1" applyAlignment="1">
      <alignment horizontal="center" vertical="center"/>
    </xf>
    <xf numFmtId="0" fontId="21" fillId="11" borderId="17" xfId="0" applyFont="1" applyFill="1" applyBorder="1" applyAlignment="1">
      <alignment horizontal="center"/>
    </xf>
    <xf numFmtId="0" fontId="6" fillId="0" borderId="0" xfId="0" applyFont="1" applyAlignment="1">
      <alignment horizontal="center"/>
    </xf>
    <xf numFmtId="0" fontId="21" fillId="12" borderId="17" xfId="0" applyFont="1" applyFill="1" applyBorder="1" applyAlignment="1">
      <alignment horizontal="center"/>
    </xf>
    <xf numFmtId="0" fontId="14" fillId="0" borderId="0" xfId="0" applyFont="1"/>
    <xf numFmtId="2" fontId="56" fillId="8" borderId="17" xfId="0" applyNumberFormat="1" applyFont="1" applyFill="1" applyBorder="1" applyAlignment="1" applyProtection="1">
      <alignment horizontal="center"/>
      <protection locked="0"/>
    </xf>
    <xf numFmtId="0" fontId="66" fillId="0" borderId="0" xfId="0" applyFont="1" applyAlignment="1">
      <alignment horizontal="center"/>
    </xf>
    <xf numFmtId="0" fontId="14" fillId="0" borderId="18" xfId="0" applyFont="1" applyBorder="1"/>
    <xf numFmtId="0" fontId="14" fillId="0" borderId="0" xfId="0" applyFont="1" applyBorder="1"/>
    <xf numFmtId="0" fontId="14" fillId="0" borderId="19" xfId="0" applyFont="1" applyBorder="1"/>
    <xf numFmtId="1" fontId="15" fillId="0" borderId="17" xfId="0" applyNumberFormat="1" applyFont="1" applyBorder="1" applyAlignment="1">
      <alignment horizontal="center"/>
    </xf>
    <xf numFmtId="1" fontId="56" fillId="8" borderId="17" xfId="0" applyNumberFormat="1" applyFont="1" applyFill="1" applyBorder="1" applyAlignment="1" applyProtection="1">
      <alignment horizontal="center"/>
      <protection locked="0"/>
    </xf>
    <xf numFmtId="0" fontId="21" fillId="6" borderId="17" xfId="0" applyFont="1" applyFill="1" applyBorder="1" applyAlignment="1">
      <alignment horizontal="center"/>
    </xf>
    <xf numFmtId="0" fontId="6" fillId="7" borderId="51" xfId="0" applyFont="1" applyFill="1" applyBorder="1" applyAlignment="1">
      <alignment horizontal="center"/>
    </xf>
    <xf numFmtId="0" fontId="0" fillId="0" borderId="4" xfId="0" applyBorder="1" applyAlignment="1">
      <alignment horizontal="center"/>
    </xf>
    <xf numFmtId="0" fontId="6" fillId="0" borderId="4" xfId="0" applyFont="1" applyBorder="1" applyAlignment="1">
      <alignment horizontal="center"/>
    </xf>
    <xf numFmtId="0" fontId="9" fillId="0" borderId="4" xfId="0" applyFont="1" applyBorder="1" applyAlignment="1">
      <alignment horizontal="center"/>
    </xf>
    <xf numFmtId="0" fontId="6" fillId="0" borderId="0" xfId="0" applyFont="1" applyFill="1" applyBorder="1" applyAlignment="1" applyProtection="1">
      <alignment horizontal="center"/>
    </xf>
    <xf numFmtId="0" fontId="14" fillId="0" borderId="0" xfId="1" applyNumberFormat="1" applyFont="1" applyFill="1" applyBorder="1" applyAlignment="1" applyProtection="1">
      <alignment horizontal="right"/>
    </xf>
    <xf numFmtId="0" fontId="6" fillId="0" borderId="0" xfId="0" applyFont="1"/>
    <xf numFmtId="2" fontId="56" fillId="8" borderId="17" xfId="1" applyNumberFormat="1" applyFont="1" applyFill="1" applyBorder="1" applyAlignment="1" applyProtection="1">
      <alignment horizontal="right"/>
      <protection locked="0"/>
    </xf>
    <xf numFmtId="44" fontId="14" fillId="0" borderId="0" xfId="1" applyFont="1" applyFill="1" applyBorder="1" applyAlignment="1" applyProtection="1">
      <alignment horizontal="right"/>
    </xf>
    <xf numFmtId="0" fontId="6" fillId="0" borderId="0" xfId="0" applyFont="1" applyAlignment="1">
      <alignment wrapText="1"/>
    </xf>
    <xf numFmtId="0" fontId="6" fillId="0" borderId="0" xfId="0" applyFont="1" applyAlignment="1"/>
    <xf numFmtId="0" fontId="48" fillId="0" borderId="0" xfId="4" applyAlignment="1" applyProtection="1">
      <protection locked="0"/>
    </xf>
    <xf numFmtId="0" fontId="67" fillId="0" borderId="5" xfId="0" applyFont="1" applyFill="1" applyBorder="1" applyAlignment="1" applyProtection="1">
      <alignment horizontal="center"/>
      <protection locked="0"/>
    </xf>
    <xf numFmtId="0" fontId="14" fillId="0" borderId="0" xfId="0" applyFont="1" applyFill="1" applyProtection="1"/>
    <xf numFmtId="0" fontId="15" fillId="0" borderId="4"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xf>
    <xf numFmtId="0" fontId="14" fillId="0" borderId="0" xfId="0" applyFont="1" applyFill="1" applyBorder="1" applyProtection="1"/>
    <xf numFmtId="0" fontId="14" fillId="0" borderId="5" xfId="0" applyFont="1" applyFill="1" applyBorder="1" applyProtection="1"/>
    <xf numFmtId="0" fontId="61" fillId="0" borderId="4" xfId="0" applyFont="1" applyFill="1" applyBorder="1" applyAlignment="1" applyProtection="1">
      <alignment horizontal="center"/>
    </xf>
    <xf numFmtId="2" fontId="16" fillId="0" borderId="0" xfId="0" applyNumberFormat="1" applyFont="1" applyFill="1" applyBorder="1" applyAlignment="1" applyProtection="1">
      <alignment horizontal="center"/>
    </xf>
    <xf numFmtId="2" fontId="16" fillId="0" borderId="0" xfId="0" applyNumberFormat="1" applyFont="1" applyFill="1" applyBorder="1" applyAlignment="1" applyProtection="1">
      <alignment horizontal="right"/>
    </xf>
    <xf numFmtId="0" fontId="14" fillId="0" borderId="0" xfId="0" applyFont="1" applyFill="1" applyBorder="1" applyAlignment="1" applyProtection="1">
      <alignment horizontal="right"/>
    </xf>
    <xf numFmtId="9" fontId="56" fillId="8" borderId="51" xfId="0" applyNumberFormat="1" applyFont="1" applyFill="1" applyBorder="1" applyAlignment="1" applyProtection="1">
      <alignment horizontal="center"/>
      <protection locked="0"/>
    </xf>
    <xf numFmtId="44" fontId="14" fillId="0" borderId="0" xfId="1" applyFont="1" applyFill="1" applyBorder="1" applyAlignment="1" applyProtection="1">
      <alignment horizontal="right"/>
      <protection locked="0"/>
    </xf>
    <xf numFmtId="44" fontId="18" fillId="0" borderId="0" xfId="1" applyFont="1" applyFill="1" applyBorder="1" applyAlignment="1" applyProtection="1">
      <alignment horizontal="right"/>
    </xf>
    <xf numFmtId="0" fontId="14" fillId="0" borderId="0" xfId="1" applyNumberFormat="1" applyFont="1" applyFill="1" applyBorder="1" applyAlignment="1" applyProtection="1">
      <alignment horizontal="right"/>
      <protection locked="0"/>
    </xf>
    <xf numFmtId="1" fontId="21" fillId="0" borderId="17" xfId="0" applyNumberFormat="1" applyFont="1" applyFill="1" applyBorder="1" applyAlignment="1" applyProtection="1">
      <alignment horizontal="center"/>
    </xf>
    <xf numFmtId="1" fontId="6" fillId="0" borderId="17" xfId="0" applyNumberFormat="1" applyFont="1" applyFill="1" applyBorder="1" applyAlignment="1" applyProtection="1">
      <alignment horizontal="center"/>
    </xf>
    <xf numFmtId="1" fontId="6" fillId="0" borderId="33" xfId="0" applyNumberFormat="1" applyFont="1" applyFill="1" applyBorder="1" applyAlignment="1" applyProtection="1">
      <alignment horizontal="center"/>
    </xf>
    <xf numFmtId="0" fontId="14" fillId="0" borderId="0" xfId="0" applyFont="1" applyFill="1" applyProtection="1">
      <protection locked="0"/>
    </xf>
    <xf numFmtId="1" fontId="6" fillId="0" borderId="0" xfId="0" applyNumberFormat="1" applyFont="1" applyFill="1" applyBorder="1" applyAlignment="1" applyProtection="1">
      <alignment horizontal="center"/>
      <protection locked="0"/>
    </xf>
    <xf numFmtId="0" fontId="6" fillId="0" borderId="10" xfId="0" applyFont="1" applyFill="1" applyBorder="1" applyProtection="1"/>
    <xf numFmtId="0" fontId="6" fillId="0" borderId="11" xfId="0" applyFont="1" applyFill="1" applyBorder="1" applyProtection="1"/>
    <xf numFmtId="0" fontId="6" fillId="0" borderId="0" xfId="0" applyFont="1" applyFill="1" applyBorder="1" applyProtection="1">
      <protection locked="0"/>
    </xf>
    <xf numFmtId="9" fontId="16" fillId="0" borderId="4" xfId="0" applyNumberFormat="1" applyFont="1" applyFill="1" applyBorder="1" applyAlignment="1" applyProtection="1">
      <alignment horizontal="center"/>
    </xf>
    <xf numFmtId="2" fontId="57" fillId="0" borderId="0" xfId="1" applyNumberFormat="1" applyFont="1" applyFill="1" applyBorder="1" applyAlignment="1" applyProtection="1">
      <alignment horizontal="right"/>
    </xf>
    <xf numFmtId="2" fontId="6" fillId="0" borderId="17" xfId="0" applyNumberFormat="1" applyFont="1" applyFill="1" applyBorder="1" applyAlignment="1" applyProtection="1">
      <alignment horizontal="center"/>
    </xf>
    <xf numFmtId="2" fontId="6" fillId="0" borderId="33" xfId="0" applyNumberFormat="1" applyFont="1" applyFill="1" applyBorder="1" applyAlignment="1" applyProtection="1">
      <alignment horizontal="center"/>
    </xf>
    <xf numFmtId="2" fontId="57" fillId="0" borderId="0" xfId="1" applyNumberFormat="1" applyFont="1" applyFill="1" applyBorder="1" applyAlignment="1" applyProtection="1">
      <alignment horizontal="right"/>
      <protection locked="0"/>
    </xf>
    <xf numFmtId="0" fontId="14" fillId="0" borderId="0" xfId="0" applyFont="1" applyFill="1" applyBorder="1" applyProtection="1">
      <protection locked="0"/>
    </xf>
    <xf numFmtId="0" fontId="61" fillId="0" borderId="0" xfId="0" applyFont="1" applyFill="1" applyBorder="1" applyAlignment="1" applyProtection="1">
      <alignment horizontal="center"/>
      <protection locked="0"/>
    </xf>
    <xf numFmtId="0" fontId="70" fillId="0" borderId="0" xfId="0" applyFont="1" applyFill="1" applyBorder="1" applyAlignment="1" applyProtection="1">
      <alignment horizontal="center"/>
    </xf>
    <xf numFmtId="0" fontId="68" fillId="0" borderId="0" xfId="0" applyFont="1" applyFill="1" applyBorder="1" applyAlignment="1" applyProtection="1">
      <alignment horizontal="center"/>
      <protection locked="0"/>
    </xf>
    <xf numFmtId="0" fontId="56" fillId="8" borderId="51" xfId="0" applyFont="1" applyFill="1" applyBorder="1" applyAlignment="1" applyProtection="1">
      <alignment horizontal="center"/>
      <protection locked="0"/>
    </xf>
    <xf numFmtId="0" fontId="61" fillId="0" borderId="0" xfId="0" applyFont="1" applyFill="1" applyBorder="1" applyAlignment="1" applyProtection="1">
      <alignment horizontal="center"/>
    </xf>
    <xf numFmtId="0" fontId="66" fillId="0" borderId="5" xfId="0" applyFont="1" applyFill="1" applyBorder="1" applyAlignment="1" applyProtection="1">
      <alignment horizontal="center"/>
    </xf>
    <xf numFmtId="0" fontId="14" fillId="0" borderId="0" xfId="0" applyFont="1" applyFill="1" applyAlignment="1" applyProtection="1">
      <alignment horizontal="center"/>
      <protection locked="0"/>
    </xf>
    <xf numFmtId="0" fontId="6" fillId="0" borderId="69" xfId="0" applyFont="1" applyFill="1" applyBorder="1" applyAlignment="1" applyProtection="1">
      <alignment horizontal="center"/>
    </xf>
    <xf numFmtId="0" fontId="71" fillId="0" borderId="14" xfId="0" applyFont="1" applyFill="1" applyBorder="1" applyAlignment="1" applyProtection="1"/>
    <xf numFmtId="0" fontId="71" fillId="0" borderId="66" xfId="0" applyFont="1" applyFill="1" applyBorder="1" applyAlignment="1" applyProtection="1"/>
    <xf numFmtId="44" fontId="6" fillId="0" borderId="14" xfId="0" applyNumberFormat="1" applyFont="1" applyFill="1" applyBorder="1" applyAlignment="1" applyProtection="1"/>
    <xf numFmtId="0" fontId="71" fillId="0" borderId="0" xfId="0" applyFont="1" applyFill="1" applyBorder="1" applyAlignment="1" applyProtection="1"/>
    <xf numFmtId="44" fontId="6" fillId="0" borderId="0" xfId="0" applyNumberFormat="1" applyFont="1" applyFill="1" applyBorder="1" applyAlignment="1" applyProtection="1"/>
    <xf numFmtId="0" fontId="14" fillId="0" borderId="4" xfId="0" applyFont="1" applyFill="1" applyBorder="1" applyProtection="1"/>
    <xf numFmtId="0" fontId="67" fillId="0" borderId="6" xfId="0" applyFont="1" applyFill="1" applyBorder="1" applyAlignment="1" applyProtection="1">
      <protection locked="0"/>
    </xf>
    <xf numFmtId="9" fontId="14" fillId="0" borderId="4" xfId="0" applyNumberFormat="1" applyFont="1" applyFill="1" applyBorder="1" applyAlignment="1" applyProtection="1">
      <alignment horizontal="right"/>
    </xf>
    <xf numFmtId="0" fontId="71" fillId="0" borderId="14" xfId="0" applyFont="1" applyFill="1" applyBorder="1" applyAlignment="1" applyProtection="1">
      <protection locked="0"/>
    </xf>
    <xf numFmtId="0" fontId="71" fillId="0" borderId="0" xfId="0" applyFont="1" applyFill="1" applyBorder="1" applyAlignment="1" applyProtection="1">
      <protection locked="0"/>
    </xf>
    <xf numFmtId="9" fontId="6" fillId="0" borderId="0" xfId="0" applyNumberFormat="1" applyFont="1" applyFill="1" applyBorder="1" applyAlignment="1" applyProtection="1">
      <alignment horizontal="center"/>
      <protection locked="0"/>
    </xf>
    <xf numFmtId="0" fontId="68" fillId="0" borderId="0" xfId="0" applyFont="1" applyFill="1" applyBorder="1" applyAlignment="1" applyProtection="1">
      <alignment horizontal="center"/>
    </xf>
    <xf numFmtId="0" fontId="6" fillId="0" borderId="25" xfId="0" applyFont="1" applyFill="1" applyBorder="1" applyAlignment="1" applyProtection="1"/>
    <xf numFmtId="0" fontId="21" fillId="5" borderId="22" xfId="0" applyFont="1" applyFill="1" applyBorder="1" applyAlignment="1" applyProtection="1">
      <alignment horizontal="center"/>
    </xf>
    <xf numFmtId="0" fontId="21" fillId="5" borderId="23" xfId="0" applyFont="1" applyFill="1" applyBorder="1" applyAlignment="1" applyProtection="1">
      <alignment horizontal="center"/>
    </xf>
    <xf numFmtId="0" fontId="14" fillId="0" borderId="12" xfId="0" applyFont="1" applyFill="1" applyBorder="1" applyProtection="1"/>
    <xf numFmtId="0" fontId="14" fillId="0" borderId="13" xfId="0" applyFont="1" applyFill="1" applyBorder="1" applyProtection="1"/>
    <xf numFmtId="0" fontId="14" fillId="0" borderId="6" xfId="0" applyFont="1" applyFill="1" applyBorder="1" applyProtection="1"/>
    <xf numFmtId="2" fontId="56" fillId="0" borderId="18" xfId="0" applyNumberFormat="1" applyFont="1" applyFill="1" applyBorder="1" applyAlignment="1" applyProtection="1">
      <alignment horizontal="center"/>
      <protection locked="0"/>
    </xf>
    <xf numFmtId="2" fontId="56" fillId="0" borderId="0" xfId="0" applyNumberFormat="1" applyFont="1" applyFill="1" applyBorder="1" applyAlignment="1" applyProtection="1">
      <alignment horizontal="center"/>
      <protection locked="0"/>
    </xf>
    <xf numFmtId="2" fontId="56" fillId="0" borderId="19" xfId="0" applyNumberFormat="1" applyFont="1" applyFill="1" applyBorder="1" applyAlignment="1" applyProtection="1">
      <alignment horizontal="center"/>
      <protection locked="0"/>
    </xf>
    <xf numFmtId="0" fontId="15" fillId="0" borderId="0" xfId="0" applyFont="1" applyFill="1" applyAlignment="1">
      <alignment horizontal="center"/>
    </xf>
    <xf numFmtId="0" fontId="15" fillId="0" borderId="0" xfId="0" applyFont="1" applyFill="1" applyAlignment="1">
      <alignment horizontal="center" vertical="center"/>
    </xf>
    <xf numFmtId="0" fontId="15" fillId="0" borderId="0" xfId="0" applyFont="1" applyAlignment="1" applyProtection="1">
      <alignment horizontal="center"/>
    </xf>
    <xf numFmtId="0" fontId="15" fillId="0" borderId="0" xfId="0" applyFont="1" applyAlignment="1" applyProtection="1">
      <alignment horizontal="center" vertical="center"/>
    </xf>
    <xf numFmtId="0" fontId="21" fillId="13" borderId="17" xfId="0" applyFont="1" applyFill="1" applyBorder="1" applyAlignment="1" applyProtection="1">
      <alignment horizontal="center"/>
    </xf>
    <xf numFmtId="0" fontId="8" fillId="9" borderId="4" xfId="0" applyFont="1" applyFill="1" applyBorder="1" applyAlignment="1">
      <alignment horizontal="right" vertical="center"/>
    </xf>
    <xf numFmtId="0" fontId="15" fillId="0" borderId="17" xfId="0" applyFont="1" applyFill="1" applyBorder="1" applyAlignment="1" applyProtection="1">
      <alignment horizontal="center"/>
    </xf>
    <xf numFmtId="1" fontId="15" fillId="0" borderId="0" xfId="0" applyNumberFormat="1" applyFont="1" applyAlignment="1">
      <alignment horizontal="center"/>
    </xf>
    <xf numFmtId="0" fontId="18" fillId="0" borderId="0" xfId="0" applyFont="1"/>
    <xf numFmtId="0" fontId="14" fillId="0" borderId="0" xfId="1" applyNumberFormat="1" applyFont="1" applyFill="1" applyBorder="1" applyAlignment="1" applyProtection="1">
      <alignment horizontal="center"/>
    </xf>
    <xf numFmtId="44" fontId="14" fillId="0" borderId="0" xfId="1" applyFont="1" applyFill="1" applyBorder="1" applyAlignment="1" applyProtection="1">
      <alignment horizontal="center"/>
    </xf>
    <xf numFmtId="0" fontId="14" fillId="0" borderId="0" xfId="0" applyFont="1" applyAlignment="1">
      <alignment horizontal="center"/>
    </xf>
    <xf numFmtId="0" fontId="21" fillId="10" borderId="0" xfId="0" applyFont="1" applyFill="1" applyAlignment="1">
      <alignment horizontal="center"/>
    </xf>
    <xf numFmtId="0" fontId="21" fillId="13" borderId="0" xfId="0" applyFont="1" applyFill="1" applyAlignment="1">
      <alignment horizontal="center"/>
    </xf>
    <xf numFmtId="0" fontId="21" fillId="11" borderId="0" xfId="0" applyFont="1" applyFill="1" applyAlignment="1">
      <alignment horizontal="center"/>
    </xf>
    <xf numFmtId="0" fontId="21" fillId="12" borderId="0" xfId="0" applyFont="1" applyFill="1" applyAlignment="1">
      <alignment horizontal="center"/>
    </xf>
    <xf numFmtId="0" fontId="21" fillId="6" borderId="0" xfId="0" applyFont="1" applyFill="1" applyAlignment="1">
      <alignment horizontal="center"/>
    </xf>
    <xf numFmtId="0" fontId="21" fillId="10" borderId="31" xfId="0" applyFont="1" applyFill="1" applyBorder="1" applyAlignment="1">
      <alignment horizontal="center"/>
    </xf>
    <xf numFmtId="1" fontId="15" fillId="0" borderId="0" xfId="0" applyNumberFormat="1" applyFont="1" applyAlignment="1" applyProtection="1">
      <alignment horizontal="center"/>
    </xf>
    <xf numFmtId="1" fontId="15" fillId="0" borderId="0" xfId="0" applyNumberFormat="1" applyFont="1" applyAlignment="1" applyProtection="1">
      <alignment horizontal="center" vertical="center"/>
    </xf>
    <xf numFmtId="1" fontId="15" fillId="0" borderId="0" xfId="0" applyNumberFormat="1" applyFont="1" applyFill="1" applyBorder="1" applyAlignment="1" applyProtection="1">
      <alignment horizontal="center"/>
      <protection locked="0"/>
    </xf>
    <xf numFmtId="1" fontId="15" fillId="0" borderId="0" xfId="0" applyNumberFormat="1" applyFont="1" applyAlignment="1">
      <alignment horizontal="center" vertical="center"/>
    </xf>
    <xf numFmtId="0" fontId="67" fillId="0" borderId="0" xfId="0" applyFont="1" applyAlignment="1"/>
    <xf numFmtId="0" fontId="3" fillId="0" borderId="17" xfId="1" applyNumberFormat="1" applyFont="1" applyFill="1" applyBorder="1" applyAlignment="1" applyProtection="1">
      <alignment horizontal="center"/>
      <protection locked="0"/>
    </xf>
    <xf numFmtId="0" fontId="9" fillId="0" borderId="17" xfId="1" applyNumberFormat="1" applyFont="1" applyFill="1" applyBorder="1" applyAlignment="1" applyProtection="1">
      <alignment horizontal="center"/>
      <protection locked="0"/>
    </xf>
    <xf numFmtId="2" fontId="9" fillId="0" borderId="0" xfId="0" applyNumberFormat="1" applyFont="1"/>
    <xf numFmtId="1" fontId="0" fillId="0" borderId="0" xfId="0" applyNumberFormat="1"/>
    <xf numFmtId="0" fontId="0" fillId="0" borderId="18" xfId="0" applyBorder="1"/>
    <xf numFmtId="0" fontId="0" fillId="0" borderId="17" xfId="0" applyBorder="1"/>
    <xf numFmtId="1" fontId="0" fillId="0" borderId="17" xfId="0" applyNumberFormat="1" applyBorder="1" applyAlignment="1">
      <alignment horizontal="center"/>
    </xf>
    <xf numFmtId="0" fontId="3" fillId="0" borderId="17" xfId="0" applyFont="1" applyFill="1" applyBorder="1" applyAlignment="1">
      <alignment horizontal="center"/>
    </xf>
    <xf numFmtId="0" fontId="5" fillId="0" borderId="19" xfId="0" applyFont="1" applyBorder="1" applyAlignment="1" applyProtection="1">
      <alignment horizontal="center"/>
      <protection locked="0"/>
    </xf>
    <xf numFmtId="0" fontId="6" fillId="0" borderId="0" xfId="0" applyFont="1" applyAlignment="1">
      <alignment horizontal="center" vertical="center"/>
    </xf>
    <xf numFmtId="0" fontId="3" fillId="9" borderId="0" xfId="0" applyFont="1" applyFill="1" applyBorder="1" applyAlignment="1">
      <alignment horizontal="left" vertical="center"/>
    </xf>
    <xf numFmtId="0" fontId="3" fillId="9" borderId="5" xfId="0" applyFont="1" applyFill="1" applyBorder="1" applyAlignment="1">
      <alignment horizontal="left" vertical="center"/>
    </xf>
    <xf numFmtId="0" fontId="9" fillId="9" borderId="13" xfId="0" applyFont="1" applyFill="1" applyBorder="1" applyAlignment="1">
      <alignment horizontal="left" vertical="center" indent="3"/>
    </xf>
    <xf numFmtId="0" fontId="9" fillId="9" borderId="6" xfId="0" applyFont="1" applyFill="1" applyBorder="1" applyAlignment="1">
      <alignment horizontal="left" vertical="center" indent="3"/>
    </xf>
    <xf numFmtId="0" fontId="8" fillId="9" borderId="1" xfId="0" applyFont="1" applyFill="1" applyBorder="1" applyAlignment="1">
      <alignment horizontal="right" vertical="top"/>
    </xf>
    <xf numFmtId="0" fontId="8" fillId="9" borderId="4" xfId="0" applyFont="1" applyFill="1" applyBorder="1" applyAlignment="1">
      <alignment horizontal="right" vertical="top"/>
    </xf>
    <xf numFmtId="0" fontId="8" fillId="9" borderId="12" xfId="0" applyFont="1" applyFill="1" applyBorder="1" applyAlignment="1">
      <alignment horizontal="right" vertical="top"/>
    </xf>
    <xf numFmtId="0" fontId="8" fillId="9" borderId="13" xfId="0" applyFont="1" applyFill="1" applyBorder="1" applyAlignment="1">
      <alignment horizontal="center" vertical="center"/>
    </xf>
    <xf numFmtId="0" fontId="8" fillId="9" borderId="6" xfId="0" applyFont="1" applyFill="1" applyBorder="1" applyAlignment="1">
      <alignment horizontal="center" vertical="center"/>
    </xf>
    <xf numFmtId="0" fontId="3" fillId="9" borderId="0" xfId="0" applyFont="1" applyFill="1" applyBorder="1" applyAlignment="1">
      <alignment horizontal="left" vertical="center" indent="3"/>
    </xf>
    <xf numFmtId="0" fontId="3" fillId="9" borderId="5" xfId="0" applyFont="1" applyFill="1" applyBorder="1" applyAlignment="1">
      <alignment horizontal="left" vertical="center" indent="3"/>
    </xf>
    <xf numFmtId="0" fontId="3" fillId="9" borderId="2" xfId="0" applyFont="1" applyFill="1" applyBorder="1" applyAlignment="1">
      <alignment horizontal="left" vertical="center"/>
    </xf>
    <xf numFmtId="0" fontId="3" fillId="9" borderId="3" xfId="0" applyFont="1" applyFill="1" applyBorder="1" applyAlignment="1">
      <alignment horizontal="left" vertical="center"/>
    </xf>
    <xf numFmtId="0" fontId="3" fillId="9" borderId="13" xfId="0" applyFont="1" applyFill="1" applyBorder="1" applyAlignment="1">
      <alignment horizontal="left" vertical="center"/>
    </xf>
    <xf numFmtId="0" fontId="3" fillId="9" borderId="6" xfId="0" applyFont="1" applyFill="1" applyBorder="1" applyAlignment="1">
      <alignment horizontal="left" vertical="center"/>
    </xf>
    <xf numFmtId="0" fontId="3" fillId="9" borderId="2" xfId="0" applyFont="1" applyFill="1" applyBorder="1" applyAlignment="1">
      <alignment horizontal="left" vertical="center" wrapText="1"/>
    </xf>
    <xf numFmtId="0" fontId="3" fillId="9" borderId="3" xfId="0" applyFont="1" applyFill="1" applyBorder="1" applyAlignment="1">
      <alignment horizontal="left" vertical="center" wrapText="1"/>
    </xf>
    <xf numFmtId="0" fontId="3" fillId="9" borderId="16" xfId="0" applyFont="1" applyFill="1" applyBorder="1" applyAlignment="1">
      <alignment horizontal="left" vertical="center"/>
    </xf>
    <xf numFmtId="0" fontId="3" fillId="9" borderId="24" xfId="0" applyFont="1" applyFill="1" applyBorder="1" applyAlignment="1">
      <alignment horizontal="left" vertical="center"/>
    </xf>
    <xf numFmtId="0" fontId="3" fillId="9" borderId="13" xfId="0" applyFont="1" applyFill="1" applyBorder="1" applyAlignment="1">
      <alignment horizontal="left" vertical="center" wrapText="1"/>
    </xf>
    <xf numFmtId="0" fontId="3" fillId="9" borderId="6" xfId="0" applyFont="1" applyFill="1" applyBorder="1" applyAlignment="1">
      <alignment horizontal="left" vertical="center" wrapText="1"/>
    </xf>
    <xf numFmtId="0" fontId="3" fillId="9" borderId="2" xfId="0" applyFont="1" applyFill="1" applyBorder="1" applyAlignment="1">
      <alignment horizontal="left" vertical="top" wrapText="1"/>
    </xf>
    <xf numFmtId="0" fontId="3" fillId="9" borderId="3" xfId="0" applyFont="1" applyFill="1" applyBorder="1" applyAlignment="1">
      <alignment horizontal="left" vertical="top" wrapText="1"/>
    </xf>
    <xf numFmtId="0" fontId="3" fillId="9" borderId="0" xfId="0" applyFont="1" applyFill="1" applyBorder="1" applyAlignment="1">
      <alignment horizontal="left" vertical="top" wrapText="1"/>
    </xf>
    <xf numFmtId="0" fontId="3" fillId="9" borderId="5" xfId="0" applyFont="1" applyFill="1" applyBorder="1" applyAlignment="1">
      <alignment horizontal="left" vertical="top" wrapText="1"/>
    </xf>
    <xf numFmtId="0" fontId="20" fillId="5" borderId="1" xfId="0" applyFont="1" applyFill="1" applyBorder="1" applyAlignment="1" applyProtection="1">
      <alignment horizontal="center"/>
    </xf>
    <xf numFmtId="0" fontId="20" fillId="5" borderId="2" xfId="0" applyFont="1" applyFill="1" applyBorder="1" applyAlignment="1" applyProtection="1">
      <alignment horizontal="center"/>
    </xf>
    <xf numFmtId="0" fontId="20" fillId="5" borderId="3" xfId="0" applyFont="1" applyFill="1" applyBorder="1" applyAlignment="1" applyProtection="1">
      <alignment horizontal="center"/>
    </xf>
    <xf numFmtId="0" fontId="20" fillId="5" borderId="4" xfId="0" applyFont="1" applyFill="1" applyBorder="1" applyAlignment="1" applyProtection="1">
      <alignment horizontal="center"/>
    </xf>
    <xf numFmtId="0" fontId="20" fillId="5" borderId="0" xfId="0" applyFont="1" applyFill="1" applyBorder="1" applyAlignment="1" applyProtection="1">
      <alignment horizontal="center"/>
    </xf>
    <xf numFmtId="0" fontId="20" fillId="5" borderId="5" xfId="0" applyFont="1" applyFill="1" applyBorder="1" applyAlignment="1" applyProtection="1">
      <alignment horizontal="center"/>
    </xf>
    <xf numFmtId="0" fontId="3" fillId="9" borderId="0" xfId="0" applyFont="1" applyFill="1" applyBorder="1" applyAlignment="1">
      <alignment horizontal="left" vertical="center" wrapText="1" indent="3"/>
    </xf>
    <xf numFmtId="0" fontId="3" fillId="9" borderId="5" xfId="0" applyFont="1" applyFill="1" applyBorder="1" applyAlignment="1">
      <alignment horizontal="left" vertical="center" wrapText="1" indent="3"/>
    </xf>
    <xf numFmtId="0" fontId="8" fillId="9" borderId="0" xfId="0" applyFont="1" applyFill="1" applyBorder="1" applyAlignment="1">
      <alignment horizontal="center" vertical="center"/>
    </xf>
    <xf numFmtId="0" fontId="8" fillId="9" borderId="5" xfId="0" applyFont="1" applyFill="1" applyBorder="1" applyAlignment="1">
      <alignment horizontal="center" vertical="center"/>
    </xf>
    <xf numFmtId="0" fontId="25" fillId="5" borderId="4" xfId="0" applyFont="1" applyFill="1" applyBorder="1" applyAlignment="1" applyProtection="1">
      <alignment horizontal="center" vertical="center"/>
    </xf>
    <xf numFmtId="0" fontId="25" fillId="5" borderId="0" xfId="0" applyFont="1" applyFill="1" applyBorder="1" applyAlignment="1" applyProtection="1">
      <alignment horizontal="center" vertical="center"/>
    </xf>
    <xf numFmtId="0" fontId="25" fillId="5" borderId="5" xfId="0" applyFont="1" applyFill="1" applyBorder="1" applyAlignment="1" applyProtection="1">
      <alignment horizontal="center" vertical="center"/>
    </xf>
    <xf numFmtId="0" fontId="21" fillId="5" borderId="1" xfId="0" applyFont="1" applyFill="1" applyBorder="1" applyAlignment="1" applyProtection="1">
      <alignment horizontal="center"/>
      <protection locked="0"/>
    </xf>
    <xf numFmtId="0" fontId="21" fillId="5" borderId="2" xfId="0" applyFont="1" applyFill="1" applyBorder="1" applyAlignment="1" applyProtection="1">
      <alignment horizontal="center"/>
      <protection locked="0"/>
    </xf>
    <xf numFmtId="0" fontId="21" fillId="5" borderId="3" xfId="0" applyFont="1" applyFill="1" applyBorder="1" applyAlignment="1" applyProtection="1">
      <alignment horizontal="center"/>
      <protection locked="0"/>
    </xf>
    <xf numFmtId="9" fontId="21" fillId="5" borderId="17" xfId="0" applyNumberFormat="1" applyFont="1" applyFill="1" applyBorder="1" applyAlignment="1" applyProtection="1">
      <alignment horizontal="center"/>
    </xf>
    <xf numFmtId="9" fontId="21" fillId="5" borderId="33" xfId="0" applyNumberFormat="1" applyFont="1" applyFill="1" applyBorder="1" applyAlignment="1" applyProtection="1">
      <alignment horizontal="center"/>
    </xf>
    <xf numFmtId="9" fontId="15" fillId="4" borderId="17" xfId="0" applyNumberFormat="1" applyFont="1" applyFill="1" applyBorder="1" applyAlignment="1" applyProtection="1">
      <alignment horizontal="center"/>
    </xf>
    <xf numFmtId="9" fontId="21" fillId="3" borderId="17" xfId="0" applyNumberFormat="1" applyFont="1" applyFill="1" applyBorder="1" applyAlignment="1" applyProtection="1">
      <alignment horizontal="center"/>
    </xf>
    <xf numFmtId="9" fontId="15" fillId="4" borderId="33" xfId="0" applyNumberFormat="1" applyFont="1" applyFill="1" applyBorder="1" applyAlignment="1" applyProtection="1">
      <alignment horizontal="center"/>
    </xf>
    <xf numFmtId="9" fontId="21" fillId="3" borderId="33" xfId="0" applyNumberFormat="1" applyFont="1" applyFill="1" applyBorder="1" applyAlignment="1" applyProtection="1">
      <alignment horizontal="center"/>
    </xf>
    <xf numFmtId="0" fontId="9" fillId="0" borderId="0" xfId="0" applyFont="1" applyFill="1" applyBorder="1" applyAlignment="1" applyProtection="1">
      <alignment horizontal="center"/>
    </xf>
    <xf numFmtId="0" fontId="9" fillId="0" borderId="19" xfId="0" applyFont="1" applyFill="1" applyBorder="1" applyAlignment="1" applyProtection="1">
      <alignment horizontal="center"/>
    </xf>
    <xf numFmtId="0" fontId="9" fillId="0" borderId="5" xfId="0" applyFont="1" applyFill="1" applyBorder="1" applyAlignment="1" applyProtection="1">
      <alignment horizontal="center"/>
    </xf>
    <xf numFmtId="0" fontId="65" fillId="0" borderId="0" xfId="4" applyFont="1" applyBorder="1" applyAlignment="1" applyProtection="1">
      <alignment horizontal="left"/>
      <protection locked="0"/>
    </xf>
    <xf numFmtId="0" fontId="65" fillId="0" borderId="5" xfId="4" applyFont="1" applyBorder="1" applyAlignment="1" applyProtection="1">
      <alignment horizontal="left"/>
      <protection locked="0"/>
    </xf>
    <xf numFmtId="0" fontId="7" fillId="7" borderId="35" xfId="0" applyFont="1" applyFill="1" applyBorder="1" applyAlignment="1" applyProtection="1">
      <alignment horizontal="center"/>
    </xf>
    <xf numFmtId="0" fontId="7" fillId="7" borderId="16" xfId="0" applyFont="1" applyFill="1" applyBorder="1" applyAlignment="1" applyProtection="1">
      <alignment horizontal="center"/>
    </xf>
    <xf numFmtId="0" fontId="7" fillId="7" borderId="24" xfId="0" applyFont="1" applyFill="1" applyBorder="1" applyAlignment="1" applyProtection="1">
      <alignment horizontal="center"/>
    </xf>
    <xf numFmtId="0" fontId="25" fillId="5" borderId="4" xfId="0" applyFont="1" applyFill="1" applyBorder="1" applyAlignment="1" applyProtection="1">
      <alignment horizontal="center"/>
    </xf>
    <xf numFmtId="0" fontId="25" fillId="5" borderId="0" xfId="0" applyFont="1" applyFill="1" applyBorder="1" applyAlignment="1" applyProtection="1">
      <alignment horizontal="center"/>
    </xf>
    <xf numFmtId="0" fontId="25" fillId="5" borderId="5" xfId="0" applyFont="1" applyFill="1" applyBorder="1" applyAlignment="1" applyProtection="1">
      <alignment horizontal="center"/>
    </xf>
    <xf numFmtId="0" fontId="6" fillId="0" borderId="18" xfId="0" applyFont="1" applyFill="1" applyBorder="1" applyAlignment="1" applyProtection="1">
      <alignment horizontal="center"/>
    </xf>
    <xf numFmtId="0" fontId="6" fillId="0" borderId="5" xfId="0" applyFont="1" applyFill="1" applyBorder="1" applyAlignment="1" applyProtection="1">
      <alignment horizontal="center"/>
    </xf>
    <xf numFmtId="0" fontId="6" fillId="0" borderId="0" xfId="0" applyFont="1" applyFill="1" applyBorder="1" applyAlignment="1" applyProtection="1">
      <alignment horizontal="center"/>
    </xf>
    <xf numFmtId="0" fontId="6" fillId="0" borderId="19" xfId="0" applyFont="1" applyFill="1" applyBorder="1" applyAlignment="1" applyProtection="1">
      <alignment horizontal="center"/>
    </xf>
    <xf numFmtId="0" fontId="25" fillId="5" borderId="12" xfId="0" applyFont="1" applyFill="1" applyBorder="1" applyAlignment="1" applyProtection="1">
      <alignment horizontal="center"/>
    </xf>
    <xf numFmtId="0" fontId="25" fillId="5" borderId="13" xfId="0" applyFont="1" applyFill="1" applyBorder="1" applyAlignment="1" applyProtection="1">
      <alignment horizontal="center"/>
    </xf>
    <xf numFmtId="0" fontId="25" fillId="5" borderId="6" xfId="0" applyFont="1" applyFill="1" applyBorder="1" applyAlignment="1" applyProtection="1">
      <alignment horizontal="center"/>
    </xf>
    <xf numFmtId="0" fontId="14" fillId="0" borderId="49" xfId="0" applyFont="1" applyFill="1" applyBorder="1" applyAlignment="1" applyProtection="1">
      <alignment horizontal="left"/>
    </xf>
    <xf numFmtId="0" fontId="14" fillId="0" borderId="48" xfId="0" applyFont="1" applyFill="1" applyBorder="1" applyAlignment="1" applyProtection="1">
      <alignment horizontal="left"/>
    </xf>
    <xf numFmtId="0" fontId="3" fillId="0" borderId="19" xfId="0" applyFont="1" applyFill="1" applyBorder="1" applyAlignment="1" applyProtection="1">
      <alignment horizontal="center"/>
    </xf>
    <xf numFmtId="0" fontId="9" fillId="8" borderId="62" xfId="0" applyFont="1" applyFill="1" applyBorder="1" applyAlignment="1" applyProtection="1">
      <alignment horizontal="center"/>
      <protection locked="0"/>
    </xf>
    <xf numFmtId="0" fontId="9" fillId="8" borderId="60" xfId="0" applyFont="1" applyFill="1" applyBorder="1" applyAlignment="1" applyProtection="1">
      <alignment horizontal="center"/>
      <protection locked="0"/>
    </xf>
    <xf numFmtId="0" fontId="9" fillId="8" borderId="63" xfId="0" applyFont="1" applyFill="1" applyBorder="1" applyAlignment="1" applyProtection="1">
      <alignment horizontal="center"/>
      <protection locked="0"/>
    </xf>
    <xf numFmtId="0" fontId="9" fillId="8" borderId="61" xfId="0" applyFont="1" applyFill="1" applyBorder="1" applyAlignment="1" applyProtection="1">
      <alignment horizontal="center"/>
      <protection locked="0"/>
    </xf>
    <xf numFmtId="0" fontId="5" fillId="0" borderId="26" xfId="0" applyFont="1" applyBorder="1" applyAlignment="1" applyProtection="1">
      <alignment horizontal="center"/>
      <protection locked="0"/>
    </xf>
    <xf numFmtId="0" fontId="5" fillId="0" borderId="27" xfId="0" applyFont="1" applyBorder="1" applyAlignment="1" applyProtection="1">
      <alignment horizontal="center"/>
      <protection locked="0"/>
    </xf>
    <xf numFmtId="0" fontId="5" fillId="0" borderId="18" xfId="0" applyFont="1" applyBorder="1" applyAlignment="1" applyProtection="1">
      <alignment horizontal="center"/>
      <protection locked="0"/>
    </xf>
    <xf numFmtId="0" fontId="5" fillId="0" borderId="19" xfId="0" applyFont="1" applyBorder="1" applyAlignment="1" applyProtection="1">
      <alignment horizontal="center"/>
      <protection locked="0"/>
    </xf>
    <xf numFmtId="0" fontId="8" fillId="8" borderId="16" xfId="0" applyFont="1" applyFill="1" applyBorder="1" applyAlignment="1" applyProtection="1">
      <alignment horizontal="center"/>
    </xf>
    <xf numFmtId="0" fontId="24" fillId="0" borderId="18" xfId="0" applyFont="1" applyFill="1" applyBorder="1" applyAlignment="1" applyProtection="1">
      <alignment horizontal="center"/>
    </xf>
    <xf numFmtId="0" fontId="24" fillId="0" borderId="19" xfId="0" applyFont="1" applyFill="1" applyBorder="1" applyAlignment="1" applyProtection="1">
      <alignment horizontal="center"/>
    </xf>
    <xf numFmtId="0" fontId="20" fillId="5" borderId="4"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9" fillId="8" borderId="35" xfId="0" applyFont="1" applyFill="1" applyBorder="1" applyAlignment="1" applyProtection="1">
      <alignment horizontal="center" vertical="center"/>
    </xf>
    <xf numFmtId="0" fontId="9" fillId="8" borderId="16" xfId="0" applyFont="1" applyFill="1" applyBorder="1" applyAlignment="1" applyProtection="1">
      <alignment horizontal="center" vertical="center"/>
    </xf>
    <xf numFmtId="0" fontId="46" fillId="0" borderId="5" xfId="0" applyFont="1" applyFill="1" applyBorder="1" applyAlignment="1" applyProtection="1">
      <alignment horizontal="center"/>
      <protection locked="0"/>
    </xf>
    <xf numFmtId="0" fontId="9" fillId="8" borderId="35" xfId="0" applyFont="1" applyFill="1" applyBorder="1" applyAlignment="1" applyProtection="1">
      <alignment horizontal="center"/>
    </xf>
    <xf numFmtId="0" fontId="9" fillId="8" borderId="16" xfId="0" applyFont="1" applyFill="1" applyBorder="1" applyAlignment="1" applyProtection="1">
      <alignment horizontal="center"/>
    </xf>
    <xf numFmtId="0" fontId="9" fillId="8" borderId="24" xfId="0" applyFont="1" applyFill="1" applyBorder="1" applyAlignment="1" applyProtection="1">
      <alignment horizontal="center"/>
    </xf>
    <xf numFmtId="0" fontId="46" fillId="0" borderId="0" xfId="0" applyFont="1" applyFill="1" applyBorder="1" applyAlignment="1" applyProtection="1">
      <alignment horizontal="center"/>
      <protection locked="0"/>
    </xf>
    <xf numFmtId="0" fontId="23" fillId="5" borderId="0" xfId="0" applyFont="1" applyFill="1" applyAlignment="1" applyProtection="1">
      <alignment horizontal="center"/>
    </xf>
    <xf numFmtId="0" fontId="21" fillId="5" borderId="0" xfId="0" applyFont="1" applyFill="1" applyBorder="1" applyAlignment="1" applyProtection="1">
      <alignment horizontal="center" vertical="center"/>
    </xf>
    <xf numFmtId="0" fontId="48" fillId="0" borderId="0" xfId="4" applyAlignment="1" applyProtection="1">
      <alignment horizontal="left"/>
    </xf>
    <xf numFmtId="0" fontId="48" fillId="0" borderId="0" xfId="4" applyAlignment="1">
      <alignment horizontal="left"/>
    </xf>
    <xf numFmtId="0" fontId="21" fillId="5" borderId="35" xfId="0" applyFont="1" applyFill="1" applyBorder="1" applyAlignment="1">
      <alignment horizontal="center"/>
    </xf>
    <xf numFmtId="0" fontId="21" fillId="5" borderId="16" xfId="0" applyFont="1" applyFill="1" applyBorder="1" applyAlignment="1">
      <alignment horizontal="center"/>
    </xf>
    <xf numFmtId="0" fontId="21" fillId="5" borderId="24" xfId="0" applyFont="1" applyFill="1" applyBorder="1" applyAlignment="1">
      <alignment horizontal="center"/>
    </xf>
    <xf numFmtId="0" fontId="6" fillId="7" borderId="35" xfId="0" applyFont="1" applyFill="1" applyBorder="1" applyAlignment="1">
      <alignment horizontal="center"/>
    </xf>
    <xf numFmtId="0" fontId="6" fillId="7" borderId="16" xfId="0" applyFont="1" applyFill="1" applyBorder="1" applyAlignment="1">
      <alignment horizontal="center"/>
    </xf>
    <xf numFmtId="0" fontId="6" fillId="7" borderId="24" xfId="0" applyFont="1" applyFill="1" applyBorder="1" applyAlignment="1">
      <alignment horizontal="center"/>
    </xf>
    <xf numFmtId="0" fontId="6" fillId="0" borderId="36" xfId="0" applyFont="1" applyBorder="1" applyAlignment="1">
      <alignment horizontal="left"/>
    </xf>
    <xf numFmtId="0" fontId="6" fillId="0" borderId="10" xfId="0" applyFont="1" applyBorder="1" applyAlignment="1">
      <alignment horizontal="left"/>
    </xf>
    <xf numFmtId="0" fontId="6" fillId="0" borderId="37" xfId="0" applyFont="1" applyBorder="1" applyAlignment="1">
      <alignment horizontal="left"/>
    </xf>
    <xf numFmtId="0" fontId="67" fillId="0" borderId="0" xfId="0" applyFont="1" applyAlignment="1">
      <alignment horizontal="center"/>
    </xf>
    <xf numFmtId="0" fontId="6" fillId="0" borderId="0" xfId="0" applyFont="1" applyBorder="1" applyAlignment="1">
      <alignment horizontal="left"/>
    </xf>
    <xf numFmtId="44" fontId="56" fillId="8" borderId="70" xfId="1" applyFont="1" applyFill="1" applyBorder="1" applyAlignment="1" applyProtection="1">
      <alignment horizontal="center"/>
      <protection locked="0"/>
    </xf>
    <xf numFmtId="44" fontId="56" fillId="8" borderId="71" xfId="1" applyFont="1" applyFill="1" applyBorder="1" applyAlignment="1" applyProtection="1">
      <alignment horizontal="center"/>
      <protection locked="0"/>
    </xf>
    <xf numFmtId="44" fontId="56" fillId="8" borderId="36" xfId="1" applyFont="1" applyFill="1" applyBorder="1" applyAlignment="1" applyProtection="1">
      <alignment horizontal="center"/>
      <protection locked="0"/>
    </xf>
    <xf numFmtId="44" fontId="56" fillId="8" borderId="37" xfId="1" applyFont="1" applyFill="1" applyBorder="1" applyAlignment="1" applyProtection="1">
      <alignment horizontal="center"/>
      <protection locked="0"/>
    </xf>
    <xf numFmtId="0" fontId="48" fillId="0" borderId="0" xfId="4" applyAlignment="1" applyProtection="1">
      <alignment horizontal="left"/>
      <protection locked="0"/>
    </xf>
    <xf numFmtId="0" fontId="6" fillId="0" borderId="13" xfId="0" applyFont="1" applyBorder="1" applyAlignment="1">
      <alignment horizontal="center"/>
    </xf>
    <xf numFmtId="0" fontId="9" fillId="0" borderId="0" xfId="0" applyFont="1" applyAlignment="1" applyProtection="1">
      <alignment horizontal="center"/>
      <protection locked="0"/>
    </xf>
    <xf numFmtId="0" fontId="67" fillId="0" borderId="43" xfId="0" applyFont="1" applyFill="1" applyBorder="1" applyAlignment="1" applyProtection="1">
      <alignment horizontal="center"/>
      <protection locked="0"/>
    </xf>
    <xf numFmtId="9" fontId="6" fillId="8" borderId="35" xfId="0" applyNumberFormat="1" applyFont="1" applyFill="1" applyBorder="1" applyAlignment="1" applyProtection="1">
      <alignment horizontal="center"/>
    </xf>
    <xf numFmtId="9" fontId="6" fillId="8" borderId="16" xfId="0" applyNumberFormat="1" applyFont="1" applyFill="1" applyBorder="1" applyAlignment="1" applyProtection="1">
      <alignment horizontal="center"/>
    </xf>
    <xf numFmtId="9" fontId="6" fillId="8" borderId="24" xfId="0" applyNumberFormat="1" applyFont="1" applyFill="1" applyBorder="1" applyAlignment="1" applyProtection="1">
      <alignment horizontal="center"/>
    </xf>
    <xf numFmtId="0" fontId="21" fillId="5" borderId="35" xfId="0" applyFont="1" applyFill="1" applyBorder="1" applyAlignment="1" applyProtection="1">
      <alignment horizontal="center"/>
    </xf>
    <xf numFmtId="0" fontId="21" fillId="5" borderId="16" xfId="0" applyFont="1" applyFill="1" applyBorder="1" applyAlignment="1" applyProtection="1">
      <alignment horizontal="center"/>
    </xf>
    <xf numFmtId="0" fontId="21" fillId="5" borderId="24" xfId="0" applyFont="1" applyFill="1" applyBorder="1" applyAlignment="1" applyProtection="1">
      <alignment horizontal="center"/>
    </xf>
    <xf numFmtId="0" fontId="0" fillId="0" borderId="0" xfId="0" applyFont="1" applyFill="1" applyBorder="1" applyAlignment="1" applyProtection="1">
      <alignment horizontal="left" wrapText="1"/>
    </xf>
    <xf numFmtId="0" fontId="0" fillId="0" borderId="5" xfId="0" applyFont="1" applyFill="1" applyBorder="1" applyAlignment="1" applyProtection="1">
      <alignment horizontal="left" wrapText="1"/>
    </xf>
    <xf numFmtId="0" fontId="19" fillId="5" borderId="1" xfId="0" applyFont="1" applyFill="1" applyBorder="1" applyAlignment="1" applyProtection="1">
      <alignment horizontal="center" vertical="center"/>
    </xf>
    <xf numFmtId="0" fontId="19" fillId="5" borderId="2" xfId="0" applyFont="1" applyFill="1" applyBorder="1" applyAlignment="1" applyProtection="1">
      <alignment horizontal="center" vertical="center"/>
    </xf>
    <xf numFmtId="0" fontId="19" fillId="5" borderId="3" xfId="0" applyFont="1" applyFill="1" applyBorder="1" applyAlignment="1" applyProtection="1">
      <alignment horizontal="center" vertical="center"/>
    </xf>
    <xf numFmtId="0" fontId="19" fillId="5" borderId="4" xfId="0" applyFont="1" applyFill="1" applyBorder="1" applyAlignment="1" applyProtection="1">
      <alignment horizontal="center" vertical="center"/>
    </xf>
    <xf numFmtId="0" fontId="19" fillId="5" borderId="0" xfId="0" applyFont="1" applyFill="1" applyBorder="1" applyAlignment="1" applyProtection="1">
      <alignment horizontal="center" vertical="center"/>
    </xf>
    <xf numFmtId="0" fontId="19" fillId="5" borderId="5" xfId="0" applyFont="1" applyFill="1" applyBorder="1" applyAlignment="1" applyProtection="1">
      <alignment horizontal="center" vertical="center"/>
    </xf>
    <xf numFmtId="0" fontId="9" fillId="0" borderId="35" xfId="0" applyFont="1" applyFill="1" applyBorder="1" applyAlignment="1" applyProtection="1">
      <alignment horizontal="center"/>
    </xf>
    <xf numFmtId="0" fontId="9" fillId="0" borderId="16" xfId="0" applyFont="1" applyFill="1" applyBorder="1" applyAlignment="1" applyProtection="1">
      <alignment horizontal="center"/>
    </xf>
    <xf numFmtId="0" fontId="9" fillId="0" borderId="24" xfId="0" applyFont="1" applyFill="1" applyBorder="1" applyAlignment="1" applyProtection="1">
      <alignment horizontal="center"/>
    </xf>
    <xf numFmtId="0" fontId="21" fillId="5" borderId="58" xfId="0" applyFont="1" applyFill="1" applyBorder="1" applyAlignment="1" applyProtection="1">
      <alignment horizontal="center"/>
    </xf>
    <xf numFmtId="0" fontId="21" fillId="5" borderId="59" xfId="0" applyFont="1" applyFill="1" applyBorder="1" applyAlignment="1" applyProtection="1">
      <alignment horizontal="center"/>
    </xf>
    <xf numFmtId="0" fontId="21" fillId="5" borderId="42" xfId="0" applyFont="1" applyFill="1" applyBorder="1" applyAlignment="1" applyProtection="1">
      <alignment horizontal="center"/>
    </xf>
    <xf numFmtId="0" fontId="9" fillId="0" borderId="36" xfId="0" applyFont="1" applyBorder="1" applyAlignment="1" applyProtection="1">
      <alignment horizontal="center"/>
      <protection locked="0"/>
    </xf>
    <xf numFmtId="0" fontId="9" fillId="0" borderId="10" xfId="0" applyFont="1" applyBorder="1" applyAlignment="1" applyProtection="1">
      <alignment horizontal="center"/>
      <protection locked="0"/>
    </xf>
    <xf numFmtId="0" fontId="9" fillId="0" borderId="37" xfId="0" applyFont="1" applyBorder="1" applyAlignment="1" applyProtection="1">
      <alignment horizontal="center"/>
      <protection locked="0"/>
    </xf>
    <xf numFmtId="0" fontId="3" fillId="0" borderId="0" xfId="0" applyFont="1" applyBorder="1" applyAlignment="1" applyProtection="1">
      <alignment horizontal="center" wrapText="1"/>
    </xf>
    <xf numFmtId="0" fontId="3" fillId="0" borderId="19" xfId="0" applyFont="1" applyFill="1" applyBorder="1" applyAlignment="1" applyProtection="1">
      <alignment horizontal="center" wrapText="1"/>
    </xf>
    <xf numFmtId="0" fontId="21" fillId="5" borderId="0" xfId="0" applyFont="1" applyFill="1" applyBorder="1" applyAlignment="1" applyProtection="1">
      <alignment horizontal="center"/>
    </xf>
    <xf numFmtId="0" fontId="9" fillId="0" borderId="20" xfId="0" applyFont="1" applyBorder="1" applyAlignment="1">
      <alignment horizontal="center"/>
    </xf>
    <xf numFmtId="0" fontId="9" fillId="0" borderId="8" xfId="0" applyFont="1" applyBorder="1" applyAlignment="1">
      <alignment horizontal="center"/>
    </xf>
    <xf numFmtId="0" fontId="3" fillId="0" borderId="0" xfId="0" applyFont="1" applyAlignment="1">
      <alignment horizontal="left" wrapText="1"/>
    </xf>
    <xf numFmtId="0" fontId="21" fillId="5" borderId="0" xfId="0" applyFont="1" applyFill="1" applyAlignment="1">
      <alignment horizontal="center"/>
    </xf>
    <xf numFmtId="0" fontId="25" fillId="14" borderId="58" xfId="0" applyFont="1" applyFill="1" applyBorder="1" applyAlignment="1">
      <alignment horizontal="center"/>
    </xf>
    <xf numFmtId="0" fontId="25" fillId="14" borderId="59" xfId="0" applyFont="1" applyFill="1" applyBorder="1" applyAlignment="1">
      <alignment horizontal="center"/>
    </xf>
    <xf numFmtId="0" fontId="25" fillId="14" borderId="42" xfId="0" applyFont="1" applyFill="1" applyBorder="1" applyAlignment="1">
      <alignment horizontal="center"/>
    </xf>
    <xf numFmtId="0" fontId="0" fillId="0" borderId="0" xfId="0" applyAlignment="1">
      <alignment horizontal="left" wrapText="1"/>
    </xf>
    <xf numFmtId="0" fontId="3" fillId="0" borderId="8" xfId="0" applyFont="1" applyBorder="1" applyAlignment="1">
      <alignment horizontal="left"/>
    </xf>
    <xf numFmtId="0" fontId="23" fillId="5" borderId="0" xfId="0" applyFont="1" applyFill="1" applyAlignment="1">
      <alignment horizontal="center"/>
    </xf>
  </cellXfs>
  <cellStyles count="5">
    <cellStyle name="Comma" xfId="3" builtinId="3"/>
    <cellStyle name="Currency" xfId="1" builtinId="4"/>
    <cellStyle name="Hyperlink" xfId="4" builtinId="8"/>
    <cellStyle name="Normal" xfId="0" builtinId="0"/>
    <cellStyle name="Percent" xfId="2" builtinId="5"/>
  </cellStyles>
  <dxfs count="0"/>
  <tableStyles count="0" defaultTableStyle="TableStyleMedium2" defaultPivotStyle="PivotStyleLight16"/>
  <colors>
    <mruColors>
      <color rgb="FF0DB14B"/>
      <color rgb="FFF2C400"/>
      <color rgb="FF18453B"/>
      <color rgb="FF63C3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Total</a:t>
            </a:r>
            <a:r>
              <a:rPr lang="en-US" b="1" baseline="0"/>
              <a:t> Costs (Corn)</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Charts!$B$1</c:f>
              <c:strCache>
                <c:ptCount val="1"/>
                <c:pt idx="0">
                  <c:v>Corn</c:v>
                </c:pt>
              </c:strCache>
            </c:strRef>
          </c:tx>
          <c:spPr>
            <a:solidFill>
              <a:srgbClr val="F2C400"/>
            </a:solidFill>
            <a:ln>
              <a:noFill/>
            </a:ln>
            <a:effectLst/>
          </c:spPr>
          <c:invertIfNegative val="0"/>
          <c:cat>
            <c:strRef>
              <c:f>Charts!$A$2:$A$41</c:f>
              <c:strCache>
                <c:ptCount val="24"/>
                <c:pt idx="0">
                  <c:v>Seed</c:v>
                </c:pt>
                <c:pt idx="1">
                  <c:v>Fertilizer</c:v>
                </c:pt>
                <c:pt idx="2">
                  <c:v>Crop Chemicals</c:v>
                </c:pt>
                <c:pt idx="3">
                  <c:v>Crop Insurance</c:v>
                </c:pt>
                <c:pt idx="4">
                  <c:v>Crop Miscellaneous</c:v>
                </c:pt>
                <c:pt idx="5">
                  <c:v>Supplies</c:v>
                </c:pt>
                <c:pt idx="6">
                  <c:v>Gas/Fuel</c:v>
                </c:pt>
                <c:pt idx="7">
                  <c:v>Repairs &amp; Maintenance</c:v>
                </c:pt>
                <c:pt idx="8">
                  <c:v>Custom Hire</c:v>
                </c:pt>
                <c:pt idx="9">
                  <c:v>Freight &amp; Trucking</c:v>
                </c:pt>
                <c:pt idx="10">
                  <c:v>Storage</c:v>
                </c:pt>
                <c:pt idx="11">
                  <c:v>Utilities</c:v>
                </c:pt>
                <c:pt idx="12">
                  <c:v>Irrigation</c:v>
                </c:pt>
                <c:pt idx="13">
                  <c:v>Marketing</c:v>
                </c:pt>
                <c:pt idx="14">
                  <c:v>Hired Labor</c:v>
                </c:pt>
                <c:pt idx="15">
                  <c:v>Farm Insurance</c:v>
                </c:pt>
                <c:pt idx="16">
                  <c:v>Real Estate Taxes</c:v>
                </c:pt>
                <c:pt idx="17">
                  <c:v>Land Rent</c:v>
                </c:pt>
                <c:pt idx="18">
                  <c:v>Depreciation (Economic )</c:v>
                </c:pt>
                <c:pt idx="19">
                  <c:v>Other (variable &amp; fixed)</c:v>
                </c:pt>
                <c:pt idx="20">
                  <c:v>Income Taxes</c:v>
                </c:pt>
                <c:pt idx="21">
                  <c:v>Owner Withdrawal</c:v>
                </c:pt>
                <c:pt idx="22">
                  <c:v>Interest (Oper &amp; Term)</c:v>
                </c:pt>
                <c:pt idx="23">
                  <c:v>Principal Payment</c:v>
                </c:pt>
              </c:strCache>
            </c:strRef>
          </c:cat>
          <c:val>
            <c:numRef>
              <c:f>Charts!$B$2:$B$41</c:f>
              <c:numCache>
                <c:formatCode>_("$"* #,##0.00_);_("$"* \(#,##0.00\);_("$"* "-"??_);_(@_)</c:formatCode>
                <c:ptCount val="24"/>
                <c:pt idx="0">
                  <c:v>99.480500000000006</c:v>
                </c:pt>
                <c:pt idx="1">
                  <c:v>121.57204999999999</c:v>
                </c:pt>
                <c:pt idx="2">
                  <c:v>51.435000000000002</c:v>
                </c:pt>
                <c:pt idx="3">
                  <c:v>12.13</c:v>
                </c:pt>
                <c:pt idx="4">
                  <c:v>3.92</c:v>
                </c:pt>
                <c:pt idx="5">
                  <c:v>0</c:v>
                </c:pt>
                <c:pt idx="6">
                  <c:v>48.91</c:v>
                </c:pt>
                <c:pt idx="7">
                  <c:v>64.84</c:v>
                </c:pt>
                <c:pt idx="8">
                  <c:v>16.7</c:v>
                </c:pt>
                <c:pt idx="9">
                  <c:v>2.71</c:v>
                </c:pt>
                <c:pt idx="10">
                  <c:v>2.08</c:v>
                </c:pt>
                <c:pt idx="11">
                  <c:v>16.260000000000002</c:v>
                </c:pt>
                <c:pt idx="12">
                  <c:v>0</c:v>
                </c:pt>
                <c:pt idx="13">
                  <c:v>0</c:v>
                </c:pt>
                <c:pt idx="14">
                  <c:v>31.64</c:v>
                </c:pt>
                <c:pt idx="15">
                  <c:v>12.95</c:v>
                </c:pt>
                <c:pt idx="16">
                  <c:v>12.08</c:v>
                </c:pt>
                <c:pt idx="17">
                  <c:v>89.55</c:v>
                </c:pt>
                <c:pt idx="18">
                  <c:v>66.040000000000006</c:v>
                </c:pt>
                <c:pt idx="19">
                  <c:v>15.77</c:v>
                </c:pt>
                <c:pt idx="20">
                  <c:v>0</c:v>
                </c:pt>
                <c:pt idx="21">
                  <c:v>0</c:v>
                </c:pt>
                <c:pt idx="22">
                  <c:v>39.133333333333333</c:v>
                </c:pt>
                <c:pt idx="23">
                  <c:v>66.328056148348594</c:v>
                </c:pt>
              </c:numCache>
            </c:numRef>
          </c:val>
          <c:extLst>
            <c:ext xmlns:c16="http://schemas.microsoft.com/office/drawing/2014/chart" uri="{C3380CC4-5D6E-409C-BE32-E72D297353CC}">
              <c16:uniqueId val="{00000000-0118-4176-9F66-FA529A985056}"/>
            </c:ext>
          </c:extLst>
        </c:ser>
        <c:dLbls>
          <c:showLegendKey val="0"/>
          <c:showVal val="0"/>
          <c:showCatName val="0"/>
          <c:showSerName val="0"/>
          <c:showPercent val="0"/>
          <c:showBubbleSize val="0"/>
        </c:dLbls>
        <c:gapWidth val="182"/>
        <c:axId val="2047158064"/>
        <c:axId val="1807838016"/>
      </c:barChart>
      <c:catAx>
        <c:axId val="2047158064"/>
        <c:scaling>
          <c:orientation val="maxMin"/>
        </c:scaling>
        <c:delete val="0"/>
        <c:axPos val="l"/>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807838016"/>
        <c:crosses val="autoZero"/>
        <c:auto val="1"/>
        <c:lblAlgn val="ctr"/>
        <c:lblOffset val="100"/>
        <c:noMultiLvlLbl val="0"/>
      </c:catAx>
      <c:valAx>
        <c:axId val="1807838016"/>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high"/>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04715806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Total Costs (Soybeans)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Charts!$C$1</c:f>
              <c:strCache>
                <c:ptCount val="1"/>
                <c:pt idx="0">
                  <c:v>Soybeans</c:v>
                </c:pt>
              </c:strCache>
            </c:strRef>
          </c:tx>
          <c:spPr>
            <a:solidFill>
              <a:schemeClr val="accent1"/>
            </a:solidFill>
            <a:ln>
              <a:noFill/>
            </a:ln>
            <a:effectLst/>
          </c:spPr>
          <c:invertIfNegative val="0"/>
          <c:cat>
            <c:strRef>
              <c:f>Charts!$A$2:$A$41</c:f>
              <c:strCache>
                <c:ptCount val="24"/>
                <c:pt idx="0">
                  <c:v>Seed</c:v>
                </c:pt>
                <c:pt idx="1">
                  <c:v>Fertilizer</c:v>
                </c:pt>
                <c:pt idx="2">
                  <c:v>Crop Chemicals</c:v>
                </c:pt>
                <c:pt idx="3">
                  <c:v>Crop Insurance</c:v>
                </c:pt>
                <c:pt idx="4">
                  <c:v>Crop Miscellaneous</c:v>
                </c:pt>
                <c:pt idx="5">
                  <c:v>Supplies</c:v>
                </c:pt>
                <c:pt idx="6">
                  <c:v>Gas/Fuel</c:v>
                </c:pt>
                <c:pt idx="7">
                  <c:v>Repairs &amp; Maintenance</c:v>
                </c:pt>
                <c:pt idx="8">
                  <c:v>Custom Hire</c:v>
                </c:pt>
                <c:pt idx="9">
                  <c:v>Freight &amp; Trucking</c:v>
                </c:pt>
                <c:pt idx="10">
                  <c:v>Storage</c:v>
                </c:pt>
                <c:pt idx="11">
                  <c:v>Utilities</c:v>
                </c:pt>
                <c:pt idx="12">
                  <c:v>Irrigation</c:v>
                </c:pt>
                <c:pt idx="13">
                  <c:v>Marketing</c:v>
                </c:pt>
                <c:pt idx="14">
                  <c:v>Hired Labor</c:v>
                </c:pt>
                <c:pt idx="15">
                  <c:v>Farm Insurance</c:v>
                </c:pt>
                <c:pt idx="16">
                  <c:v>Real Estate Taxes</c:v>
                </c:pt>
                <c:pt idx="17">
                  <c:v>Land Rent</c:v>
                </c:pt>
                <c:pt idx="18">
                  <c:v>Depreciation (Economic )</c:v>
                </c:pt>
                <c:pt idx="19">
                  <c:v>Other (variable &amp; fixed)</c:v>
                </c:pt>
                <c:pt idx="20">
                  <c:v>Income Taxes</c:v>
                </c:pt>
                <c:pt idx="21">
                  <c:v>Owner Withdrawal</c:v>
                </c:pt>
                <c:pt idx="22">
                  <c:v>Interest (Oper &amp; Term)</c:v>
                </c:pt>
                <c:pt idx="23">
                  <c:v>Principal Payment</c:v>
                </c:pt>
              </c:strCache>
            </c:strRef>
          </c:cat>
          <c:val>
            <c:numRef>
              <c:f>Charts!$C$2:$C$41</c:f>
              <c:numCache>
                <c:formatCode>_("$"* #,##0.00_);_("$"* \(#,##0.00\);_("$"* "-"??_);_(@_)</c:formatCode>
                <c:ptCount val="24"/>
                <c:pt idx="0">
                  <c:v>58.370000000000005</c:v>
                </c:pt>
                <c:pt idx="1">
                  <c:v>37.975000000000001</c:v>
                </c:pt>
                <c:pt idx="2">
                  <c:v>36.485624999999999</c:v>
                </c:pt>
                <c:pt idx="3">
                  <c:v>12.29</c:v>
                </c:pt>
                <c:pt idx="4">
                  <c:v>3.07</c:v>
                </c:pt>
                <c:pt idx="5">
                  <c:v>0</c:v>
                </c:pt>
                <c:pt idx="6">
                  <c:v>19.34</c:v>
                </c:pt>
                <c:pt idx="7">
                  <c:v>32.450000000000003</c:v>
                </c:pt>
                <c:pt idx="8">
                  <c:v>11.69</c:v>
                </c:pt>
                <c:pt idx="9">
                  <c:v>0.88</c:v>
                </c:pt>
                <c:pt idx="10">
                  <c:v>0.5</c:v>
                </c:pt>
                <c:pt idx="11">
                  <c:v>10.38</c:v>
                </c:pt>
                <c:pt idx="12">
                  <c:v>0</c:v>
                </c:pt>
                <c:pt idx="13">
                  <c:v>1.78</c:v>
                </c:pt>
                <c:pt idx="14">
                  <c:v>20.27</c:v>
                </c:pt>
                <c:pt idx="15">
                  <c:v>10.199999999999999</c:v>
                </c:pt>
                <c:pt idx="16">
                  <c:v>10.63</c:v>
                </c:pt>
                <c:pt idx="17">
                  <c:v>98.29</c:v>
                </c:pt>
                <c:pt idx="18">
                  <c:v>66.040000000000006</c:v>
                </c:pt>
                <c:pt idx="19">
                  <c:v>3.89</c:v>
                </c:pt>
                <c:pt idx="20">
                  <c:v>0</c:v>
                </c:pt>
                <c:pt idx="21">
                  <c:v>0</c:v>
                </c:pt>
                <c:pt idx="22">
                  <c:v>39.133333333333333</c:v>
                </c:pt>
                <c:pt idx="23">
                  <c:v>66.328056148348594</c:v>
                </c:pt>
              </c:numCache>
            </c:numRef>
          </c:val>
          <c:extLst>
            <c:ext xmlns:c16="http://schemas.microsoft.com/office/drawing/2014/chart" uri="{C3380CC4-5D6E-409C-BE32-E72D297353CC}">
              <c16:uniqueId val="{00000000-9615-4231-A1DF-B2B46C0A93E6}"/>
            </c:ext>
          </c:extLst>
        </c:ser>
        <c:dLbls>
          <c:showLegendKey val="0"/>
          <c:showVal val="0"/>
          <c:showCatName val="0"/>
          <c:showSerName val="0"/>
          <c:showPercent val="0"/>
          <c:showBubbleSize val="0"/>
        </c:dLbls>
        <c:gapWidth val="182"/>
        <c:axId val="1696257040"/>
        <c:axId val="1696913568"/>
      </c:barChart>
      <c:catAx>
        <c:axId val="1696257040"/>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696913568"/>
        <c:crosses val="autoZero"/>
        <c:auto val="1"/>
        <c:lblAlgn val="ctr"/>
        <c:lblOffset val="100"/>
        <c:noMultiLvlLbl val="0"/>
      </c:catAx>
      <c:valAx>
        <c:axId val="1696913568"/>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high"/>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696257040"/>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Total Costs (Wheat)</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Charts!$D$1</c:f>
              <c:strCache>
                <c:ptCount val="1"/>
                <c:pt idx="0">
                  <c:v>Wheat</c:v>
                </c:pt>
              </c:strCache>
            </c:strRef>
          </c:tx>
          <c:spPr>
            <a:solidFill>
              <a:srgbClr val="0DB14B"/>
            </a:solidFill>
            <a:ln>
              <a:noFill/>
            </a:ln>
            <a:effectLst/>
          </c:spPr>
          <c:invertIfNegative val="0"/>
          <c:cat>
            <c:strRef>
              <c:f>Charts!$A$2:$A$41</c:f>
              <c:strCache>
                <c:ptCount val="24"/>
                <c:pt idx="0">
                  <c:v>Seed</c:v>
                </c:pt>
                <c:pt idx="1">
                  <c:v>Fertilizer</c:v>
                </c:pt>
                <c:pt idx="2">
                  <c:v>Crop Chemicals</c:v>
                </c:pt>
                <c:pt idx="3">
                  <c:v>Crop Insurance</c:v>
                </c:pt>
                <c:pt idx="4">
                  <c:v>Crop Miscellaneous</c:v>
                </c:pt>
                <c:pt idx="5">
                  <c:v>Supplies</c:v>
                </c:pt>
                <c:pt idx="6">
                  <c:v>Gas/Fuel</c:v>
                </c:pt>
                <c:pt idx="7">
                  <c:v>Repairs &amp; Maintenance</c:v>
                </c:pt>
                <c:pt idx="8">
                  <c:v>Custom Hire</c:v>
                </c:pt>
                <c:pt idx="9">
                  <c:v>Freight &amp; Trucking</c:v>
                </c:pt>
                <c:pt idx="10">
                  <c:v>Storage</c:v>
                </c:pt>
                <c:pt idx="11">
                  <c:v>Utilities</c:v>
                </c:pt>
                <c:pt idx="12">
                  <c:v>Irrigation</c:v>
                </c:pt>
                <c:pt idx="13">
                  <c:v>Marketing</c:v>
                </c:pt>
                <c:pt idx="14">
                  <c:v>Hired Labor</c:v>
                </c:pt>
                <c:pt idx="15">
                  <c:v>Farm Insurance</c:v>
                </c:pt>
                <c:pt idx="16">
                  <c:v>Real Estate Taxes</c:v>
                </c:pt>
                <c:pt idx="17">
                  <c:v>Land Rent</c:v>
                </c:pt>
                <c:pt idx="18">
                  <c:v>Depreciation (Economic )</c:v>
                </c:pt>
                <c:pt idx="19">
                  <c:v>Other (variable &amp; fixed)</c:v>
                </c:pt>
                <c:pt idx="20">
                  <c:v>Income Taxes</c:v>
                </c:pt>
                <c:pt idx="21">
                  <c:v>Owner Withdrawal</c:v>
                </c:pt>
                <c:pt idx="22">
                  <c:v>Interest (Oper &amp; Term)</c:v>
                </c:pt>
                <c:pt idx="23">
                  <c:v>Principal Payment</c:v>
                </c:pt>
              </c:strCache>
            </c:strRef>
          </c:cat>
          <c:val>
            <c:numRef>
              <c:f>Charts!$D$2:$D$41</c:f>
              <c:numCache>
                <c:formatCode>_("$"* #,##0.00_);_("$"* \(#,##0.00\);_("$"* "-"??_);_(@_)</c:formatCode>
                <c:ptCount val="24"/>
                <c:pt idx="0">
                  <c:v>32.405333333333331</c:v>
                </c:pt>
                <c:pt idx="1">
                  <c:v>77.015000000000001</c:v>
                </c:pt>
                <c:pt idx="2">
                  <c:v>45.46875</c:v>
                </c:pt>
                <c:pt idx="3">
                  <c:v>13.8</c:v>
                </c:pt>
                <c:pt idx="4">
                  <c:v>0</c:v>
                </c:pt>
                <c:pt idx="5">
                  <c:v>0</c:v>
                </c:pt>
                <c:pt idx="6">
                  <c:v>17.45</c:v>
                </c:pt>
                <c:pt idx="7">
                  <c:v>26.91</c:v>
                </c:pt>
                <c:pt idx="8">
                  <c:v>16.73</c:v>
                </c:pt>
                <c:pt idx="9">
                  <c:v>3.65</c:v>
                </c:pt>
                <c:pt idx="10">
                  <c:v>0.9</c:v>
                </c:pt>
                <c:pt idx="11">
                  <c:v>8.3000000000000007</c:v>
                </c:pt>
                <c:pt idx="12">
                  <c:v>0</c:v>
                </c:pt>
                <c:pt idx="13">
                  <c:v>2.35</c:v>
                </c:pt>
                <c:pt idx="14">
                  <c:v>22.41</c:v>
                </c:pt>
                <c:pt idx="15">
                  <c:v>8.57</c:v>
                </c:pt>
                <c:pt idx="16">
                  <c:v>9.6300000000000008</c:v>
                </c:pt>
                <c:pt idx="17">
                  <c:v>64.28</c:v>
                </c:pt>
                <c:pt idx="18">
                  <c:v>66.040000000000006</c:v>
                </c:pt>
                <c:pt idx="19">
                  <c:v>0</c:v>
                </c:pt>
                <c:pt idx="20">
                  <c:v>0</c:v>
                </c:pt>
                <c:pt idx="21">
                  <c:v>0</c:v>
                </c:pt>
                <c:pt idx="22">
                  <c:v>39.133333333333333</c:v>
                </c:pt>
                <c:pt idx="23">
                  <c:v>66.328056148348594</c:v>
                </c:pt>
              </c:numCache>
            </c:numRef>
          </c:val>
          <c:extLst>
            <c:ext xmlns:c16="http://schemas.microsoft.com/office/drawing/2014/chart" uri="{C3380CC4-5D6E-409C-BE32-E72D297353CC}">
              <c16:uniqueId val="{00000000-BFE9-44C3-AD01-09567EE0EAD0}"/>
            </c:ext>
          </c:extLst>
        </c:ser>
        <c:dLbls>
          <c:showLegendKey val="0"/>
          <c:showVal val="0"/>
          <c:showCatName val="0"/>
          <c:showSerName val="0"/>
          <c:showPercent val="0"/>
          <c:showBubbleSize val="0"/>
        </c:dLbls>
        <c:gapWidth val="182"/>
        <c:axId val="2057970032"/>
        <c:axId val="1646701184"/>
      </c:barChart>
      <c:catAx>
        <c:axId val="205797003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646701184"/>
        <c:crosses val="autoZero"/>
        <c:auto val="1"/>
        <c:lblAlgn val="ctr"/>
        <c:lblOffset val="100"/>
        <c:noMultiLvlLbl val="0"/>
      </c:catAx>
      <c:valAx>
        <c:axId val="1646701184"/>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high"/>
        <c:spPr>
          <a:noFill/>
          <a:ln>
            <a:noFill/>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057970032"/>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Comparison</a:t>
            </a:r>
            <a:r>
              <a:rPr lang="en-US" b="1" baseline="0"/>
              <a:t> of Variable and Fixed Costs</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Charts!$I$2</c:f>
              <c:strCache>
                <c:ptCount val="1"/>
                <c:pt idx="0">
                  <c:v>Variable</c:v>
                </c:pt>
              </c:strCache>
            </c:strRef>
          </c:tx>
          <c:spPr>
            <a:solidFill>
              <a:schemeClr val="accent4">
                <a:lumMod val="60000"/>
                <a:lumOff val="40000"/>
              </a:schemeClr>
            </a:solidFill>
            <a:ln>
              <a:solidFill>
                <a:schemeClr val="tx1"/>
              </a:solidFill>
            </a:ln>
            <a:effectLst/>
          </c:spPr>
          <c:invertIfNegative val="0"/>
          <c:cat>
            <c:strRef>
              <c:f>Charts!$J$1:$L$1</c:f>
              <c:strCache>
                <c:ptCount val="3"/>
                <c:pt idx="0">
                  <c:v>Corn</c:v>
                </c:pt>
                <c:pt idx="1">
                  <c:v>Soybeans</c:v>
                </c:pt>
                <c:pt idx="2">
                  <c:v>Wheat</c:v>
                </c:pt>
              </c:strCache>
            </c:strRef>
          </c:cat>
          <c:val>
            <c:numRef>
              <c:f>Charts!$J$2:$L$2</c:f>
              <c:numCache>
                <c:formatCode>_("$"* #,##0.00_);_("$"* \(#,##0.00\);_("$"* "-"??_);_(@_)</c:formatCode>
                <c:ptCount val="3"/>
                <c:pt idx="0">
                  <c:v>480.01088333333325</c:v>
                </c:pt>
                <c:pt idx="1">
                  <c:v>253.81395833333332</c:v>
                </c:pt>
                <c:pt idx="2">
                  <c:v>275.72241666666673</c:v>
                </c:pt>
              </c:numCache>
            </c:numRef>
          </c:val>
          <c:extLst>
            <c:ext xmlns:c16="http://schemas.microsoft.com/office/drawing/2014/chart" uri="{C3380CC4-5D6E-409C-BE32-E72D297353CC}">
              <c16:uniqueId val="{00000000-E5D8-4B44-A4AA-8AC77EAF9FD0}"/>
            </c:ext>
          </c:extLst>
        </c:ser>
        <c:ser>
          <c:idx val="1"/>
          <c:order val="1"/>
          <c:tx>
            <c:strRef>
              <c:f>Charts!$I$3</c:f>
              <c:strCache>
                <c:ptCount val="1"/>
                <c:pt idx="0">
                  <c:v>Fixed</c:v>
                </c:pt>
              </c:strCache>
            </c:strRef>
          </c:tx>
          <c:spPr>
            <a:solidFill>
              <a:srgbClr val="00B0F0"/>
            </a:solidFill>
            <a:ln>
              <a:solidFill>
                <a:schemeClr val="tx1"/>
              </a:solidFill>
            </a:ln>
            <a:effectLst/>
          </c:spPr>
          <c:invertIfNegative val="0"/>
          <c:cat>
            <c:strRef>
              <c:f>Charts!$J$1:$L$1</c:f>
              <c:strCache>
                <c:ptCount val="3"/>
                <c:pt idx="0">
                  <c:v>Corn</c:v>
                </c:pt>
                <c:pt idx="1">
                  <c:v>Soybeans</c:v>
                </c:pt>
                <c:pt idx="2">
                  <c:v>Wheat</c:v>
                </c:pt>
              </c:strCache>
            </c:strRef>
          </c:cat>
          <c:val>
            <c:numRef>
              <c:f>Charts!$J$3:$L$3</c:f>
              <c:numCache>
                <c:formatCode>_("$"* #,##0.00_);_("$"* \(#,##0.00\);_("$"* "-"??_);_(@_)</c:formatCode>
                <c:ptCount val="3"/>
                <c:pt idx="0">
                  <c:v>196.39000000000001</c:v>
                </c:pt>
                <c:pt idx="1">
                  <c:v>189.05</c:v>
                </c:pt>
                <c:pt idx="2">
                  <c:v>148.52000000000001</c:v>
                </c:pt>
              </c:numCache>
            </c:numRef>
          </c:val>
          <c:extLst>
            <c:ext xmlns:c16="http://schemas.microsoft.com/office/drawing/2014/chart" uri="{C3380CC4-5D6E-409C-BE32-E72D297353CC}">
              <c16:uniqueId val="{00000001-E5D8-4B44-A4AA-8AC77EAF9FD0}"/>
            </c:ext>
          </c:extLst>
        </c:ser>
        <c:dLbls>
          <c:showLegendKey val="0"/>
          <c:showVal val="0"/>
          <c:showCatName val="0"/>
          <c:showSerName val="0"/>
          <c:showPercent val="0"/>
          <c:showBubbleSize val="0"/>
        </c:dLbls>
        <c:gapWidth val="219"/>
        <c:overlap val="100"/>
        <c:axId val="1778811920"/>
        <c:axId val="942663584"/>
        <c:extLst>
          <c:ext xmlns:c15="http://schemas.microsoft.com/office/drawing/2012/chart" uri="{02D57815-91ED-43cb-92C2-25804820EDAC}">
            <c15:filteredBarSeries>
              <c15:ser>
                <c:idx val="2"/>
                <c:order val="2"/>
                <c:tx>
                  <c:strRef>
                    <c:extLst>
                      <c:ext uri="{02D57815-91ED-43cb-92C2-25804820EDAC}">
                        <c15:formulaRef>
                          <c15:sqref>Charts!$I$4</c15:sqref>
                        </c15:formulaRef>
                      </c:ext>
                    </c:extLst>
                    <c:strCache>
                      <c:ptCount val="1"/>
                      <c:pt idx="0">
                        <c:v>Variable &amp; Fixed</c:v>
                      </c:pt>
                    </c:strCache>
                  </c:strRef>
                </c:tx>
                <c:spPr>
                  <a:solidFill>
                    <a:schemeClr val="accent1">
                      <a:lumMod val="50000"/>
                    </a:schemeClr>
                  </a:solidFill>
                  <a:ln>
                    <a:noFill/>
                  </a:ln>
                  <a:effectLst/>
                </c:spPr>
                <c:invertIfNegative val="0"/>
                <c:cat>
                  <c:strRef>
                    <c:extLst>
                      <c:ext uri="{02D57815-91ED-43cb-92C2-25804820EDAC}">
                        <c15:formulaRef>
                          <c15:sqref>Charts!$J$1:$L$1</c15:sqref>
                        </c15:formulaRef>
                      </c:ext>
                    </c:extLst>
                    <c:strCache>
                      <c:ptCount val="3"/>
                      <c:pt idx="0">
                        <c:v>Corn</c:v>
                      </c:pt>
                      <c:pt idx="1">
                        <c:v>Soybeans</c:v>
                      </c:pt>
                      <c:pt idx="2">
                        <c:v>Wheat</c:v>
                      </c:pt>
                    </c:strCache>
                  </c:strRef>
                </c:cat>
                <c:val>
                  <c:numRef>
                    <c:extLst>
                      <c:ext uri="{02D57815-91ED-43cb-92C2-25804820EDAC}">
                        <c15:formulaRef>
                          <c15:sqref>Charts!$J$4:$L$4</c15:sqref>
                        </c15:formulaRef>
                      </c:ext>
                    </c:extLst>
                    <c:numCache>
                      <c:formatCode>_("$"* #,##0.00_);_("$"* \(#,##0.00\);_("$"* "-"??_);_(@_)</c:formatCode>
                      <c:ptCount val="3"/>
                      <c:pt idx="0">
                        <c:v>676.40088333333324</c:v>
                      </c:pt>
                      <c:pt idx="1">
                        <c:v>442.86395833333336</c:v>
                      </c:pt>
                      <c:pt idx="2">
                        <c:v>424.24241666666671</c:v>
                      </c:pt>
                    </c:numCache>
                  </c:numRef>
                </c:val>
                <c:extLst>
                  <c:ext xmlns:c16="http://schemas.microsoft.com/office/drawing/2014/chart" uri="{C3380CC4-5D6E-409C-BE32-E72D297353CC}">
                    <c16:uniqueId val="{00000002-E5D8-4B44-A4AA-8AC77EAF9FD0}"/>
                  </c:ext>
                </c:extLst>
              </c15:ser>
            </c15:filteredBarSeries>
          </c:ext>
        </c:extLst>
      </c:barChart>
      <c:catAx>
        <c:axId val="177881192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42663584"/>
        <c:crosses val="autoZero"/>
        <c:auto val="1"/>
        <c:lblAlgn val="ctr"/>
        <c:lblOffset val="100"/>
        <c:noMultiLvlLbl val="0"/>
      </c:catAx>
      <c:valAx>
        <c:axId val="94266358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778811920"/>
        <c:crosses val="autoZero"/>
        <c:crossBetween val="between"/>
      </c:valAx>
      <c:spPr>
        <a:noFill/>
        <a:ln>
          <a:solidFill>
            <a:schemeClr val="tx1"/>
          </a:solid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107156</xdr:colOff>
      <xdr:row>2</xdr:row>
      <xdr:rowOff>166687</xdr:rowOff>
    </xdr:from>
    <xdr:to>
      <xdr:col>2</xdr:col>
      <xdr:colOff>1607789</xdr:colOff>
      <xdr:row>5</xdr:row>
      <xdr:rowOff>95250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56" y="547687"/>
          <a:ext cx="2681733" cy="519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93166</xdr:colOff>
      <xdr:row>2</xdr:row>
      <xdr:rowOff>169333</xdr:rowOff>
    </xdr:from>
    <xdr:to>
      <xdr:col>17</xdr:col>
      <xdr:colOff>1548079</xdr:colOff>
      <xdr:row>5</xdr:row>
      <xdr:rowOff>85196</xdr:rowOff>
    </xdr:to>
    <xdr:pic>
      <xdr:nvPicPr>
        <xdr:cNvPr id="4" name="Picture 3">
          <a:extLst>
            <a:ext uri="{FF2B5EF4-FFF2-40B4-BE49-F238E27FC236}">
              <a16:creationId xmlns:a16="http://schemas.microsoft.com/office/drawing/2014/main" id="{F2F94B30-CBBD-4F70-8B11-4971C4DC70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2499" y="558800"/>
          <a:ext cx="2674113" cy="500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1</xdr:row>
      <xdr:rowOff>133350</xdr:rowOff>
    </xdr:from>
    <xdr:to>
      <xdr:col>0</xdr:col>
      <xdr:colOff>2759838</xdr:colOff>
      <xdr:row>4</xdr:row>
      <xdr:rowOff>33337</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571500"/>
          <a:ext cx="2681733" cy="500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152400</xdr:colOff>
      <xdr:row>1</xdr:row>
      <xdr:rowOff>133350</xdr:rowOff>
    </xdr:from>
    <xdr:to>
      <xdr:col>12</xdr:col>
      <xdr:colOff>973901</xdr:colOff>
      <xdr:row>4</xdr:row>
      <xdr:rowOff>33337</xdr:rowOff>
    </xdr:to>
    <xdr:pic>
      <xdr:nvPicPr>
        <xdr:cNvPr id="5" name="Picture 4">
          <a:extLst>
            <a:ext uri="{FF2B5EF4-FFF2-40B4-BE49-F238E27FC236}">
              <a16:creationId xmlns:a16="http://schemas.microsoft.com/office/drawing/2014/main" id="{6092F4A4-AE5B-454A-B04F-56C0CDD9BC3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334625" y="533400"/>
          <a:ext cx="2674113" cy="500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63501</xdr:colOff>
      <xdr:row>140</xdr:row>
      <xdr:rowOff>238129</xdr:rowOff>
    </xdr:from>
    <xdr:to>
      <xdr:col>4</xdr:col>
      <xdr:colOff>746125</xdr:colOff>
      <xdr:row>169</xdr:row>
      <xdr:rowOff>100542</xdr:rowOff>
    </xdr:to>
    <xdr:graphicFrame macro="">
      <xdr:nvGraphicFramePr>
        <xdr:cNvPr id="6" name="Chart 5">
          <a:extLst>
            <a:ext uri="{FF2B5EF4-FFF2-40B4-BE49-F238E27FC236}">
              <a16:creationId xmlns:a16="http://schemas.microsoft.com/office/drawing/2014/main" id="{3C32D511-0CA8-4129-A406-BB0EEF2581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5</xdr:col>
      <xdr:colOff>99485</xdr:colOff>
      <xdr:row>141</xdr:row>
      <xdr:rowOff>3</xdr:rowOff>
    </xdr:from>
    <xdr:to>
      <xdr:col>12</xdr:col>
      <xdr:colOff>720198</xdr:colOff>
      <xdr:row>169</xdr:row>
      <xdr:rowOff>60325</xdr:rowOff>
    </xdr:to>
    <xdr:graphicFrame macro="">
      <xdr:nvGraphicFramePr>
        <xdr:cNvPr id="7" name="Chart 6">
          <a:extLst>
            <a:ext uri="{FF2B5EF4-FFF2-40B4-BE49-F238E27FC236}">
              <a16:creationId xmlns:a16="http://schemas.microsoft.com/office/drawing/2014/main" id="{10F78EC2-6EA0-47D0-8BAB-E75114BD67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0</xdr:col>
      <xdr:colOff>63498</xdr:colOff>
      <xdr:row>170</xdr:row>
      <xdr:rowOff>3710</xdr:rowOff>
    </xdr:from>
    <xdr:to>
      <xdr:col>4</xdr:col>
      <xdr:colOff>395287</xdr:colOff>
      <xdr:row>199</xdr:row>
      <xdr:rowOff>154786</xdr:rowOff>
    </xdr:to>
    <xdr:graphicFrame macro="">
      <xdr:nvGraphicFramePr>
        <xdr:cNvPr id="8" name="Chart 7">
          <a:extLst>
            <a:ext uri="{FF2B5EF4-FFF2-40B4-BE49-F238E27FC236}">
              <a16:creationId xmlns:a16="http://schemas.microsoft.com/office/drawing/2014/main" id="{3857ECDC-3777-45E0-A97D-4BBE4CA77D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5</xdr:col>
      <xdr:colOff>88107</xdr:colOff>
      <xdr:row>174</xdr:row>
      <xdr:rowOff>214312</xdr:rowOff>
    </xdr:from>
    <xdr:to>
      <xdr:col>12</xdr:col>
      <xdr:colOff>717817</xdr:colOff>
      <xdr:row>197</xdr:row>
      <xdr:rowOff>49216</xdr:rowOff>
    </xdr:to>
    <xdr:graphicFrame macro="">
      <xdr:nvGraphicFramePr>
        <xdr:cNvPr id="9" name="Chart 8">
          <a:extLst>
            <a:ext uri="{FF2B5EF4-FFF2-40B4-BE49-F238E27FC236}">
              <a16:creationId xmlns:a16="http://schemas.microsoft.com/office/drawing/2014/main" id="{D8B86386-B3F9-4514-87E0-9328A1B401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28575</xdr:colOff>
      <xdr:row>26</xdr:row>
      <xdr:rowOff>123825</xdr:rowOff>
    </xdr:from>
    <xdr:to>
      <xdr:col>14</xdr:col>
      <xdr:colOff>457955</xdr:colOff>
      <xdr:row>56</xdr:row>
      <xdr:rowOff>48413</xdr:rowOff>
    </xdr:to>
    <xdr:pic>
      <xdr:nvPicPr>
        <xdr:cNvPr id="3" name="Picture 2">
          <a:extLst>
            <a:ext uri="{FF2B5EF4-FFF2-40B4-BE49-F238E27FC236}">
              <a16:creationId xmlns:a16="http://schemas.microsoft.com/office/drawing/2014/main" id="{612754E7-B58D-478C-8378-87A210CDDA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58325" y="5381625"/>
          <a:ext cx="5410955" cy="5649113"/>
        </a:xfrm>
        <a:prstGeom prst="rect">
          <a:avLst/>
        </a:prstGeom>
        <a:ln>
          <a:solidFill>
            <a:schemeClr val="bg1">
              <a:lumMod val="75000"/>
            </a:schemeClr>
          </a:solidFill>
        </a:ln>
      </xdr:spPr>
    </xdr:pic>
    <xdr:clientData/>
  </xdr:twoCellAnchor>
  <xdr:twoCellAnchor editAs="oneCell">
    <xdr:from>
      <xdr:col>1</xdr:col>
      <xdr:colOff>9525</xdr:colOff>
      <xdr:row>27</xdr:row>
      <xdr:rowOff>57150</xdr:rowOff>
    </xdr:from>
    <xdr:to>
      <xdr:col>5</xdr:col>
      <xdr:colOff>448439</xdr:colOff>
      <xdr:row>57</xdr:row>
      <xdr:rowOff>115106</xdr:rowOff>
    </xdr:to>
    <xdr:pic>
      <xdr:nvPicPr>
        <xdr:cNvPr id="6" name="Picture 5">
          <a:extLst>
            <a:ext uri="{FF2B5EF4-FFF2-40B4-BE49-F238E27FC236}">
              <a16:creationId xmlns:a16="http://schemas.microsoft.com/office/drawing/2014/main" id="{119805F5-4E90-4653-B59B-96889FEB2A2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19125" y="5514975"/>
          <a:ext cx="5477639" cy="57729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portej/Documents/Field%20Corn%20(Jon)%20-%20New%20Fa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rofit Loss"/>
      <sheetName val="Operational"/>
      <sheetName val="Seed &amp; Chem"/>
      <sheetName val="Starter Fertilizer"/>
      <sheetName val="Fertilizer"/>
      <sheetName val="Plant Health"/>
      <sheetName val="Land"/>
      <sheetName val="Loans"/>
      <sheetName val="Fertilizer Master List"/>
      <sheetName val="Chemical Master List"/>
      <sheetName val="Product Pricing"/>
      <sheetName val="Chemical Rate Chart"/>
      <sheetName val="Grain Handling"/>
    </sheetNames>
    <sheetDataSet>
      <sheetData sheetId="0" refreshError="1"/>
      <sheetData sheetId="1">
        <row r="12">
          <cell r="F12">
            <v>145</v>
          </cell>
        </row>
      </sheetData>
      <sheetData sheetId="2"/>
      <sheetData sheetId="3"/>
      <sheetData sheetId="4"/>
      <sheetData sheetId="5"/>
      <sheetData sheetId="6"/>
      <sheetData sheetId="7"/>
      <sheetData sheetId="8"/>
      <sheetData sheetId="9">
        <row r="3">
          <cell r="A3" t="str">
            <v>None</v>
          </cell>
        </row>
      </sheetData>
      <sheetData sheetId="10">
        <row r="2">
          <cell r="A2" t="str">
            <v>None</v>
          </cell>
        </row>
      </sheetData>
      <sheetData sheetId="11">
        <row r="3">
          <cell r="M3">
            <v>7.5</v>
          </cell>
        </row>
      </sheetData>
      <sheetData sheetId="12" refreshError="1"/>
      <sheetData sheetId="13">
        <row r="51">
          <cell r="C51">
            <v>0.3</v>
          </cell>
        </row>
        <row r="52">
          <cell r="C52">
            <v>0.28999999999999998</v>
          </cell>
        </row>
        <row r="53">
          <cell r="C53">
            <v>0.28000000000000003</v>
          </cell>
        </row>
        <row r="54">
          <cell r="C54">
            <v>0.27</v>
          </cell>
        </row>
        <row r="55">
          <cell r="C55">
            <v>0.26</v>
          </cell>
        </row>
        <row r="56">
          <cell r="C56">
            <v>0.25</v>
          </cell>
        </row>
        <row r="57">
          <cell r="C57">
            <v>0.24</v>
          </cell>
        </row>
        <row r="58">
          <cell r="C58">
            <v>0.23</v>
          </cell>
        </row>
        <row r="59">
          <cell r="C59">
            <v>0.22</v>
          </cell>
        </row>
        <row r="60">
          <cell r="C60">
            <v>0.21</v>
          </cell>
        </row>
        <row r="61">
          <cell r="C61">
            <v>0.2</v>
          </cell>
        </row>
        <row r="62">
          <cell r="C62">
            <v>0.19</v>
          </cell>
        </row>
        <row r="63">
          <cell r="C63">
            <v>0.18</v>
          </cell>
        </row>
        <row r="64">
          <cell r="C64">
            <v>0.17</v>
          </cell>
        </row>
        <row r="65">
          <cell r="C65">
            <v>0.16</v>
          </cell>
        </row>
        <row r="66">
          <cell r="C66">
            <v>0.15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hyperlink" Target="https://www.canr.msu.edu/fcp/content/Corn-Fungicide-efficacy-table_2017_final.pdf" TargetMode="External"/><Relationship Id="rId2" Type="http://schemas.openxmlformats.org/officeDocument/2006/relationships/hyperlink" Target="https://www.extension.purdue.edu/extmedia/BP/BP-160-W.pdf" TargetMode="External"/><Relationship Id="rId1" Type="http://schemas.openxmlformats.org/officeDocument/2006/relationships/hyperlink" Target="http://msuent.com/assets/pdf/1582CornInsects10.pdf" TargetMode="External"/><Relationship Id="rId4"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hyperlink" Target="https://www.canr.msu.edu/uploads/files/AABI/Soybean_Fungicide_efficacy_table_2018_final_MC.pdf" TargetMode="External"/><Relationship Id="rId1" Type="http://schemas.openxmlformats.org/officeDocument/2006/relationships/hyperlink" Target="http://msuent.com/assets/pdf/1582SoybeanInsects10.pdf"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oil.msu.edu/wp-content/uploads/2014/06/MSU-Nutrient-recomdns-field-crops-E-2904.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msuent.com/assets/pdf/1582SoybeanInsects10.pdf" TargetMode="External"/><Relationship Id="rId2" Type="http://schemas.openxmlformats.org/officeDocument/2006/relationships/hyperlink" Target="http://msuent.com/assets/pdf/1582CornInsects10.pdf" TargetMode="External"/><Relationship Id="rId1" Type="http://schemas.openxmlformats.org/officeDocument/2006/relationships/hyperlink" Target="https://www.canr.msu.edu/weeds/extension/2018+weed-control-guide" TargetMode="External"/><Relationship Id="rId5" Type="http://schemas.openxmlformats.org/officeDocument/2006/relationships/printerSettings" Target="../printerSettings/printerSettings5.bin"/><Relationship Id="rId4" Type="http://schemas.openxmlformats.org/officeDocument/2006/relationships/hyperlink" Target="https://www.canr.msu.edu/weeds/index"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agcrops.osu.edu/FertilityResources/tri-state_info" TargetMode="External"/><Relationship Id="rId1" Type="http://schemas.openxmlformats.org/officeDocument/2006/relationships/hyperlink" Target="https://soil.msu.edu/wp-content/uploads/2014/06/MSU-Nutrient-recomdns-field-crops-E-290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47"/>
  <sheetViews>
    <sheetView tabSelected="1" zoomScale="80" zoomScaleNormal="80" workbookViewId="0">
      <selection activeCell="C12" sqref="C12:R12"/>
    </sheetView>
  </sheetViews>
  <sheetFormatPr defaultColWidth="8.85546875" defaultRowHeight="15"/>
  <cols>
    <col min="1" max="2" width="8.85546875" style="15"/>
    <col min="3" max="3" width="33.42578125" style="15" bestFit="1" customWidth="1"/>
    <col min="4" max="4" width="1.5703125" style="15" customWidth="1"/>
    <col min="5" max="17" width="8.85546875" style="15"/>
    <col min="18" max="18" width="23.7109375" style="15" customWidth="1"/>
    <col min="19" max="16384" width="8.85546875" style="15"/>
  </cols>
  <sheetData>
    <row r="1" spans="1:18" ht="15" customHeight="1">
      <c r="A1" s="824" t="s">
        <v>645</v>
      </c>
      <c r="B1" s="825"/>
      <c r="C1" s="825"/>
      <c r="D1" s="825"/>
      <c r="E1" s="825"/>
      <c r="F1" s="825"/>
      <c r="G1" s="825"/>
      <c r="H1" s="825"/>
      <c r="I1" s="825"/>
      <c r="J1" s="825"/>
      <c r="K1" s="825"/>
      <c r="L1" s="825"/>
      <c r="M1" s="825"/>
      <c r="N1" s="825"/>
      <c r="O1" s="825"/>
      <c r="P1" s="825"/>
      <c r="Q1" s="825"/>
      <c r="R1" s="826"/>
    </row>
    <row r="2" spans="1:18" ht="15" customHeight="1">
      <c r="A2" s="827"/>
      <c r="B2" s="828"/>
      <c r="C2" s="828"/>
      <c r="D2" s="828"/>
      <c r="E2" s="828"/>
      <c r="F2" s="828"/>
      <c r="G2" s="828"/>
      <c r="H2" s="828"/>
      <c r="I2" s="828"/>
      <c r="J2" s="828"/>
      <c r="K2" s="828"/>
      <c r="L2" s="828"/>
      <c r="M2" s="828"/>
      <c r="N2" s="828"/>
      <c r="O2" s="828"/>
      <c r="P2" s="828"/>
      <c r="Q2" s="828"/>
      <c r="R2" s="829"/>
    </row>
    <row r="3" spans="1:18" ht="15" customHeight="1">
      <c r="A3" s="827"/>
      <c r="B3" s="828"/>
      <c r="C3" s="828"/>
      <c r="D3" s="828"/>
      <c r="E3" s="828"/>
      <c r="F3" s="828"/>
      <c r="G3" s="828"/>
      <c r="H3" s="828"/>
      <c r="I3" s="828"/>
      <c r="J3" s="828"/>
      <c r="K3" s="828"/>
      <c r="L3" s="828"/>
      <c r="M3" s="828"/>
      <c r="N3" s="828"/>
      <c r="O3" s="828"/>
      <c r="P3" s="828"/>
      <c r="Q3" s="828"/>
      <c r="R3" s="829"/>
    </row>
    <row r="4" spans="1:18" ht="15.75">
      <c r="A4" s="834" t="s">
        <v>423</v>
      </c>
      <c r="B4" s="835"/>
      <c r="C4" s="835"/>
      <c r="D4" s="835"/>
      <c r="E4" s="835"/>
      <c r="F4" s="835"/>
      <c r="G4" s="835"/>
      <c r="H4" s="835"/>
      <c r="I4" s="835"/>
      <c r="J4" s="835"/>
      <c r="K4" s="835"/>
      <c r="L4" s="835"/>
      <c r="M4" s="835"/>
      <c r="N4" s="835"/>
      <c r="O4" s="835"/>
      <c r="P4" s="835"/>
      <c r="Q4" s="835"/>
      <c r="R4" s="836"/>
    </row>
    <row r="5" spans="1:18" ht="15.75">
      <c r="A5" s="834" t="s">
        <v>422</v>
      </c>
      <c r="B5" s="835"/>
      <c r="C5" s="835"/>
      <c r="D5" s="835"/>
      <c r="E5" s="835"/>
      <c r="F5" s="835"/>
      <c r="G5" s="835"/>
      <c r="H5" s="835"/>
      <c r="I5" s="835"/>
      <c r="J5" s="835"/>
      <c r="K5" s="835"/>
      <c r="L5" s="835"/>
      <c r="M5" s="835"/>
      <c r="N5" s="835"/>
      <c r="O5" s="835"/>
      <c r="P5" s="835"/>
      <c r="Q5" s="835"/>
      <c r="R5" s="836"/>
    </row>
    <row r="6" spans="1:18" ht="15.75">
      <c r="A6" s="834" t="s">
        <v>702</v>
      </c>
      <c r="B6" s="835"/>
      <c r="C6" s="835"/>
      <c r="D6" s="835"/>
      <c r="E6" s="835"/>
      <c r="F6" s="835"/>
      <c r="G6" s="835"/>
      <c r="H6" s="835"/>
      <c r="I6" s="835"/>
      <c r="J6" s="835"/>
      <c r="K6" s="835"/>
      <c r="L6" s="835"/>
      <c r="M6" s="835"/>
      <c r="N6" s="835"/>
      <c r="O6" s="835"/>
      <c r="P6" s="835"/>
      <c r="Q6" s="835"/>
      <c r="R6" s="836"/>
    </row>
    <row r="7" spans="1:18" ht="15.75">
      <c r="A7" s="834" t="s">
        <v>583</v>
      </c>
      <c r="B7" s="835"/>
      <c r="C7" s="835"/>
      <c r="D7" s="835"/>
      <c r="E7" s="835"/>
      <c r="F7" s="835"/>
      <c r="G7" s="835"/>
      <c r="H7" s="835"/>
      <c r="I7" s="835"/>
      <c r="J7" s="835"/>
      <c r="K7" s="835"/>
      <c r="L7" s="835"/>
      <c r="M7" s="835"/>
      <c r="N7" s="835"/>
      <c r="O7" s="835"/>
      <c r="P7" s="835"/>
      <c r="Q7" s="835"/>
      <c r="R7" s="836"/>
    </row>
    <row r="8" spans="1:18" ht="16.5" customHeight="1" thickBot="1">
      <c r="A8" s="192"/>
      <c r="B8" s="193"/>
      <c r="C8" s="193"/>
      <c r="D8" s="193"/>
      <c r="E8" s="193"/>
      <c r="F8" s="193"/>
      <c r="G8" s="193"/>
      <c r="H8" s="193"/>
      <c r="I8" s="193"/>
      <c r="J8" s="193"/>
      <c r="K8" s="193"/>
      <c r="L8" s="193"/>
      <c r="M8" s="193"/>
      <c r="N8" s="193"/>
      <c r="O8" s="193"/>
      <c r="P8" s="193"/>
      <c r="Q8" s="193"/>
      <c r="R8" s="194"/>
    </row>
    <row r="9" spans="1:18" ht="16.5" customHeight="1">
      <c r="A9" s="300"/>
      <c r="B9" s="301"/>
      <c r="C9" s="301"/>
      <c r="D9" s="301"/>
      <c r="E9" s="301"/>
      <c r="F9" s="301"/>
      <c r="G9" s="301"/>
      <c r="H9" s="301"/>
      <c r="I9" s="301"/>
      <c r="J9" s="301"/>
      <c r="K9" s="301"/>
      <c r="L9" s="302"/>
      <c r="M9" s="302"/>
      <c r="N9" s="302"/>
      <c r="O9" s="302"/>
      <c r="P9" s="302"/>
      <c r="Q9" s="302"/>
      <c r="R9" s="303"/>
    </row>
    <row r="10" spans="1:18" ht="20.100000000000001" customHeight="1">
      <c r="A10" s="304" t="s">
        <v>297</v>
      </c>
      <c r="B10" s="305" t="s">
        <v>298</v>
      </c>
      <c r="C10" s="305"/>
      <c r="D10" s="305"/>
      <c r="E10" s="305"/>
      <c r="F10" s="305"/>
      <c r="G10" s="305"/>
      <c r="H10" s="305"/>
      <c r="I10" s="305"/>
      <c r="J10" s="305"/>
      <c r="K10" s="305"/>
      <c r="L10" s="306"/>
      <c r="M10" s="306"/>
      <c r="N10" s="306"/>
      <c r="O10" s="306"/>
      <c r="P10" s="306"/>
      <c r="Q10" s="306"/>
      <c r="R10" s="307"/>
    </row>
    <row r="11" spans="1:18" ht="20.100000000000001" customHeight="1">
      <c r="A11" s="300"/>
      <c r="B11" s="301" t="s">
        <v>299</v>
      </c>
      <c r="C11" s="301"/>
      <c r="D11" s="301"/>
      <c r="E11" s="301"/>
      <c r="F11" s="301"/>
      <c r="G11" s="301"/>
      <c r="H11" s="301"/>
      <c r="I11" s="301"/>
      <c r="J11" s="301"/>
      <c r="K11" s="301"/>
      <c r="L11" s="302"/>
      <c r="M11" s="302"/>
      <c r="N11" s="302"/>
      <c r="O11" s="302"/>
      <c r="P11" s="302"/>
      <c r="Q11" s="302"/>
      <c r="R11" s="303"/>
    </row>
    <row r="12" spans="1:18" ht="20.100000000000001" customHeight="1">
      <c r="A12" s="300"/>
      <c r="B12" s="301"/>
      <c r="C12" s="832"/>
      <c r="D12" s="832"/>
      <c r="E12" s="832"/>
      <c r="F12" s="832"/>
      <c r="G12" s="832"/>
      <c r="H12" s="832"/>
      <c r="I12" s="832"/>
      <c r="J12" s="832"/>
      <c r="K12" s="832"/>
      <c r="L12" s="832"/>
      <c r="M12" s="832"/>
      <c r="N12" s="832"/>
      <c r="O12" s="832"/>
      <c r="P12" s="832"/>
      <c r="Q12" s="832"/>
      <c r="R12" s="833"/>
    </row>
    <row r="13" spans="1:18" ht="20.100000000000001" customHeight="1" thickBot="1">
      <c r="A13" s="300"/>
      <c r="B13" s="301"/>
      <c r="C13" s="806" t="s">
        <v>488</v>
      </c>
      <c r="D13" s="806"/>
      <c r="E13" s="806"/>
      <c r="F13" s="806"/>
      <c r="G13" s="806"/>
      <c r="H13" s="806"/>
      <c r="I13" s="806"/>
      <c r="J13" s="806"/>
      <c r="K13" s="806"/>
      <c r="L13" s="806"/>
      <c r="M13" s="806"/>
      <c r="N13" s="806"/>
      <c r="O13" s="806"/>
      <c r="P13" s="806"/>
      <c r="Q13" s="806"/>
      <c r="R13" s="807"/>
    </row>
    <row r="14" spans="1:18" ht="20.100000000000001" customHeight="1">
      <c r="A14" s="300"/>
      <c r="B14" s="301"/>
      <c r="C14" s="293" t="s">
        <v>590</v>
      </c>
      <c r="D14" s="294" t="s">
        <v>566</v>
      </c>
      <c r="E14" s="810" t="s">
        <v>591</v>
      </c>
      <c r="F14" s="810"/>
      <c r="G14" s="810"/>
      <c r="H14" s="810"/>
      <c r="I14" s="810"/>
      <c r="J14" s="810"/>
      <c r="K14" s="810"/>
      <c r="L14" s="810"/>
      <c r="M14" s="810"/>
      <c r="N14" s="810"/>
      <c r="O14" s="810"/>
      <c r="P14" s="810"/>
      <c r="Q14" s="810"/>
      <c r="R14" s="811"/>
    </row>
    <row r="15" spans="1:18" ht="20.100000000000001" customHeight="1" thickBot="1">
      <c r="A15" s="300"/>
      <c r="B15" s="301"/>
      <c r="C15" s="291"/>
      <c r="D15" s="292"/>
      <c r="E15" s="801" t="s">
        <v>485</v>
      </c>
      <c r="F15" s="801"/>
      <c r="G15" s="801"/>
      <c r="H15" s="801"/>
      <c r="I15" s="801"/>
      <c r="J15" s="801"/>
      <c r="K15" s="801"/>
      <c r="L15" s="801"/>
      <c r="M15" s="801"/>
      <c r="N15" s="801"/>
      <c r="O15" s="801"/>
      <c r="P15" s="801"/>
      <c r="Q15" s="801"/>
      <c r="R15" s="802"/>
    </row>
    <row r="16" spans="1:18" ht="20.100000000000001" customHeight="1">
      <c r="A16" s="300"/>
      <c r="B16" s="301"/>
      <c r="C16" s="803" t="s">
        <v>693</v>
      </c>
      <c r="D16" s="289" t="s">
        <v>566</v>
      </c>
      <c r="E16" s="799" t="s">
        <v>751</v>
      </c>
      <c r="F16" s="799"/>
      <c r="G16" s="799"/>
      <c r="H16" s="799"/>
      <c r="I16" s="799"/>
      <c r="J16" s="799"/>
      <c r="K16" s="799"/>
      <c r="L16" s="799"/>
      <c r="M16" s="799"/>
      <c r="N16" s="799"/>
      <c r="O16" s="799"/>
      <c r="P16" s="799"/>
      <c r="Q16" s="799"/>
      <c r="R16" s="800"/>
    </row>
    <row r="17" spans="1:18" ht="20.100000000000001" customHeight="1">
      <c r="A17" s="300"/>
      <c r="B17" s="301"/>
      <c r="C17" s="804"/>
      <c r="D17" s="290"/>
      <c r="E17" s="808" t="s">
        <v>752</v>
      </c>
      <c r="F17" s="808"/>
      <c r="G17" s="808"/>
      <c r="H17" s="808"/>
      <c r="I17" s="808"/>
      <c r="J17" s="808"/>
      <c r="K17" s="808"/>
      <c r="L17" s="808"/>
      <c r="M17" s="808"/>
      <c r="N17" s="808"/>
      <c r="O17" s="808"/>
      <c r="P17" s="808"/>
      <c r="Q17" s="808"/>
      <c r="R17" s="809"/>
    </row>
    <row r="18" spans="1:18" ht="20.100000000000001" customHeight="1">
      <c r="A18" s="300"/>
      <c r="B18" s="301"/>
      <c r="C18" s="804"/>
      <c r="D18" s="290" t="s">
        <v>566</v>
      </c>
      <c r="E18" s="799" t="s">
        <v>753</v>
      </c>
      <c r="F18" s="799"/>
      <c r="G18" s="799"/>
      <c r="H18" s="799"/>
      <c r="I18" s="799"/>
      <c r="J18" s="799"/>
      <c r="K18" s="799"/>
      <c r="L18" s="799"/>
      <c r="M18" s="799"/>
      <c r="N18" s="799"/>
      <c r="O18" s="799"/>
      <c r="P18" s="799"/>
      <c r="Q18" s="799"/>
      <c r="R18" s="800"/>
    </row>
    <row r="19" spans="1:18" ht="20.100000000000001" customHeight="1">
      <c r="A19" s="300"/>
      <c r="B19" s="301"/>
      <c r="C19" s="804"/>
      <c r="D19" s="290" t="s">
        <v>566</v>
      </c>
      <c r="E19" s="799" t="s">
        <v>754</v>
      </c>
      <c r="F19" s="799"/>
      <c r="G19" s="799"/>
      <c r="H19" s="799"/>
      <c r="I19" s="799"/>
      <c r="J19" s="799"/>
      <c r="K19" s="799"/>
      <c r="L19" s="799"/>
      <c r="M19" s="799"/>
      <c r="N19" s="799"/>
      <c r="O19" s="799"/>
      <c r="P19" s="799"/>
      <c r="Q19" s="799"/>
      <c r="R19" s="800"/>
    </row>
    <row r="20" spans="1:18" ht="20.100000000000001" customHeight="1">
      <c r="A20" s="300"/>
      <c r="B20" s="301"/>
      <c r="C20" s="804"/>
      <c r="D20" s="290"/>
      <c r="E20" s="808" t="s">
        <v>755</v>
      </c>
      <c r="F20" s="808"/>
      <c r="G20" s="808"/>
      <c r="H20" s="808"/>
      <c r="I20" s="808"/>
      <c r="J20" s="808"/>
      <c r="K20" s="808"/>
      <c r="L20" s="808"/>
      <c r="M20" s="808"/>
      <c r="N20" s="808"/>
      <c r="O20" s="808"/>
      <c r="P20" s="808"/>
      <c r="Q20" s="808"/>
      <c r="R20" s="809"/>
    </row>
    <row r="21" spans="1:18" ht="20.100000000000001" customHeight="1" thickBot="1">
      <c r="A21" s="300"/>
      <c r="B21" s="301"/>
      <c r="C21" s="804"/>
      <c r="D21" s="290"/>
      <c r="E21" s="808" t="s">
        <v>437</v>
      </c>
      <c r="F21" s="808"/>
      <c r="G21" s="808"/>
      <c r="H21" s="808"/>
      <c r="I21" s="808"/>
      <c r="J21" s="808"/>
      <c r="K21" s="808"/>
      <c r="L21" s="808"/>
      <c r="M21" s="808"/>
      <c r="N21" s="808"/>
      <c r="O21" s="808"/>
      <c r="P21" s="808"/>
      <c r="Q21" s="808"/>
      <c r="R21" s="809"/>
    </row>
    <row r="22" spans="1:18" ht="20.100000000000001" customHeight="1">
      <c r="A22" s="300"/>
      <c r="B22" s="301"/>
      <c r="C22" s="803" t="s">
        <v>592</v>
      </c>
      <c r="D22" s="295" t="s">
        <v>566</v>
      </c>
      <c r="E22" s="810" t="s">
        <v>562</v>
      </c>
      <c r="F22" s="810"/>
      <c r="G22" s="810"/>
      <c r="H22" s="810"/>
      <c r="I22" s="810"/>
      <c r="J22" s="810"/>
      <c r="K22" s="810"/>
      <c r="L22" s="810"/>
      <c r="M22" s="810"/>
      <c r="N22" s="810"/>
      <c r="O22" s="810"/>
      <c r="P22" s="810"/>
      <c r="Q22" s="810"/>
      <c r="R22" s="811"/>
    </row>
    <row r="23" spans="1:18" ht="20.100000000000001" customHeight="1">
      <c r="A23" s="300"/>
      <c r="B23" s="301"/>
      <c r="C23" s="804"/>
      <c r="D23" s="296"/>
      <c r="E23" s="830" t="s">
        <v>563</v>
      </c>
      <c r="F23" s="830"/>
      <c r="G23" s="830"/>
      <c r="H23" s="830"/>
      <c r="I23" s="830"/>
      <c r="J23" s="830"/>
      <c r="K23" s="830"/>
      <c r="L23" s="830"/>
      <c r="M23" s="830"/>
      <c r="N23" s="830"/>
      <c r="O23" s="830"/>
      <c r="P23" s="830"/>
      <c r="Q23" s="830"/>
      <c r="R23" s="831"/>
    </row>
    <row r="24" spans="1:18" ht="20.100000000000001" customHeight="1">
      <c r="A24" s="300"/>
      <c r="B24" s="301"/>
      <c r="C24" s="804"/>
      <c r="D24" s="296"/>
      <c r="E24" s="830" t="s">
        <v>564</v>
      </c>
      <c r="F24" s="830"/>
      <c r="G24" s="830"/>
      <c r="H24" s="830"/>
      <c r="I24" s="830"/>
      <c r="J24" s="830"/>
      <c r="K24" s="830"/>
      <c r="L24" s="830"/>
      <c r="M24" s="830"/>
      <c r="N24" s="830"/>
      <c r="O24" s="830"/>
      <c r="P24" s="830"/>
      <c r="Q24" s="830"/>
      <c r="R24" s="831"/>
    </row>
    <row r="25" spans="1:18" ht="20.100000000000001" customHeight="1" thickBot="1">
      <c r="A25" s="300"/>
      <c r="B25" s="301"/>
      <c r="C25" s="805"/>
      <c r="D25" s="297"/>
      <c r="E25" s="801" t="s">
        <v>486</v>
      </c>
      <c r="F25" s="801"/>
      <c r="G25" s="801"/>
      <c r="H25" s="801"/>
      <c r="I25" s="801"/>
      <c r="J25" s="801"/>
      <c r="K25" s="801"/>
      <c r="L25" s="801"/>
      <c r="M25" s="801"/>
      <c r="N25" s="801"/>
      <c r="O25" s="801"/>
      <c r="P25" s="801"/>
      <c r="Q25" s="801"/>
      <c r="R25" s="802"/>
    </row>
    <row r="26" spans="1:18" ht="20.100000000000001" customHeight="1">
      <c r="A26" s="300"/>
      <c r="B26" s="301"/>
      <c r="C26" s="293" t="s">
        <v>270</v>
      </c>
      <c r="D26" s="294" t="s">
        <v>566</v>
      </c>
      <c r="E26" s="810" t="s">
        <v>415</v>
      </c>
      <c r="F26" s="810"/>
      <c r="G26" s="810"/>
      <c r="H26" s="810"/>
      <c r="I26" s="810"/>
      <c r="J26" s="810"/>
      <c r="K26" s="810"/>
      <c r="L26" s="810"/>
      <c r="M26" s="810"/>
      <c r="N26" s="810"/>
      <c r="O26" s="810"/>
      <c r="P26" s="810"/>
      <c r="Q26" s="810"/>
      <c r="R26" s="811"/>
    </row>
    <row r="27" spans="1:18" ht="20.100000000000001" customHeight="1" thickBot="1">
      <c r="A27" s="300"/>
      <c r="B27" s="301"/>
      <c r="C27" s="291"/>
      <c r="D27" s="292"/>
      <c r="E27" s="801" t="s">
        <v>572</v>
      </c>
      <c r="F27" s="801"/>
      <c r="G27" s="801"/>
      <c r="H27" s="801"/>
      <c r="I27" s="801"/>
      <c r="J27" s="801"/>
      <c r="K27" s="801"/>
      <c r="L27" s="801"/>
      <c r="M27" s="801"/>
      <c r="N27" s="801"/>
      <c r="O27" s="801"/>
      <c r="P27" s="801"/>
      <c r="Q27" s="801"/>
      <c r="R27" s="802"/>
    </row>
    <row r="28" spans="1:18" ht="19.899999999999999" customHeight="1">
      <c r="A28" s="300"/>
      <c r="B28" s="301"/>
      <c r="C28" s="293" t="s">
        <v>721</v>
      </c>
      <c r="D28" s="294" t="s">
        <v>566</v>
      </c>
      <c r="E28" s="820" t="s">
        <v>801</v>
      </c>
      <c r="F28" s="820"/>
      <c r="G28" s="820"/>
      <c r="H28" s="820"/>
      <c r="I28" s="820"/>
      <c r="J28" s="820"/>
      <c r="K28" s="820"/>
      <c r="L28" s="820"/>
      <c r="M28" s="820"/>
      <c r="N28" s="820"/>
      <c r="O28" s="820"/>
      <c r="P28" s="820"/>
      <c r="Q28" s="820"/>
      <c r="R28" s="821"/>
    </row>
    <row r="29" spans="1:18" ht="12.6" customHeight="1">
      <c r="A29" s="300"/>
      <c r="B29" s="301"/>
      <c r="C29" s="771"/>
      <c r="D29" s="308"/>
      <c r="E29" s="822"/>
      <c r="F29" s="822"/>
      <c r="G29" s="822"/>
      <c r="H29" s="822"/>
      <c r="I29" s="822"/>
      <c r="J29" s="822"/>
      <c r="K29" s="822"/>
      <c r="L29" s="822"/>
      <c r="M29" s="822"/>
      <c r="N29" s="822"/>
      <c r="O29" s="822"/>
      <c r="P29" s="822"/>
      <c r="Q29" s="822"/>
      <c r="R29" s="823"/>
    </row>
    <row r="30" spans="1:18" ht="19.899999999999999" customHeight="1" thickBot="1">
      <c r="A30" s="300"/>
      <c r="B30" s="301"/>
      <c r="C30" s="291"/>
      <c r="D30" s="292"/>
      <c r="E30" s="818" t="s">
        <v>732</v>
      </c>
      <c r="F30" s="818"/>
      <c r="G30" s="818"/>
      <c r="H30" s="818"/>
      <c r="I30" s="818"/>
      <c r="J30" s="818"/>
      <c r="K30" s="818"/>
      <c r="L30" s="818"/>
      <c r="M30" s="818"/>
      <c r="N30" s="818"/>
      <c r="O30" s="818"/>
      <c r="P30" s="818"/>
      <c r="Q30" s="818"/>
      <c r="R30" s="819"/>
    </row>
    <row r="31" spans="1:18" ht="20.100000000000001" customHeight="1" thickBot="1">
      <c r="A31" s="300"/>
      <c r="B31" s="301"/>
      <c r="C31" s="298" t="s">
        <v>565</v>
      </c>
      <c r="D31" s="299" t="s">
        <v>566</v>
      </c>
      <c r="E31" s="816" t="s">
        <v>487</v>
      </c>
      <c r="F31" s="816"/>
      <c r="G31" s="816"/>
      <c r="H31" s="816"/>
      <c r="I31" s="816"/>
      <c r="J31" s="816"/>
      <c r="K31" s="816"/>
      <c r="L31" s="816"/>
      <c r="M31" s="816"/>
      <c r="N31" s="816"/>
      <c r="O31" s="816"/>
      <c r="P31" s="816"/>
      <c r="Q31" s="816"/>
      <c r="R31" s="817"/>
    </row>
    <row r="32" spans="1:18" ht="20.100000000000001" hidden="1" customHeight="1">
      <c r="A32" s="300"/>
      <c r="B32" s="301"/>
      <c r="C32" s="308"/>
      <c r="D32" s="308"/>
      <c r="E32" s="799" t="s">
        <v>307</v>
      </c>
      <c r="F32" s="799"/>
      <c r="G32" s="799"/>
      <c r="H32" s="799"/>
      <c r="I32" s="799"/>
      <c r="J32" s="799"/>
      <c r="K32" s="799"/>
      <c r="L32" s="799"/>
      <c r="M32" s="799"/>
      <c r="N32" s="799"/>
      <c r="O32" s="799"/>
      <c r="P32" s="799"/>
      <c r="Q32" s="799"/>
      <c r="R32" s="800"/>
    </row>
    <row r="33" spans="1:18" ht="20.100000000000001" customHeight="1">
      <c r="A33" s="309"/>
      <c r="B33" s="302"/>
      <c r="C33" s="293" t="s">
        <v>593</v>
      </c>
      <c r="D33" s="294" t="s">
        <v>566</v>
      </c>
      <c r="E33" s="814" t="s">
        <v>301</v>
      </c>
      <c r="F33" s="814"/>
      <c r="G33" s="814"/>
      <c r="H33" s="814"/>
      <c r="I33" s="814"/>
      <c r="J33" s="814"/>
      <c r="K33" s="814"/>
      <c r="L33" s="814"/>
      <c r="M33" s="814"/>
      <c r="N33" s="814"/>
      <c r="O33" s="814"/>
      <c r="P33" s="814"/>
      <c r="Q33" s="814"/>
      <c r="R33" s="815"/>
    </row>
    <row r="34" spans="1:18" ht="20.100000000000001" customHeight="1" thickBot="1">
      <c r="A34" s="309"/>
      <c r="B34" s="302"/>
      <c r="C34" s="291"/>
      <c r="D34" s="292"/>
      <c r="E34" s="801" t="s">
        <v>484</v>
      </c>
      <c r="F34" s="801"/>
      <c r="G34" s="801"/>
      <c r="H34" s="801"/>
      <c r="I34" s="801"/>
      <c r="J34" s="801"/>
      <c r="K34" s="801"/>
      <c r="L34" s="801"/>
      <c r="M34" s="801"/>
      <c r="N34" s="801"/>
      <c r="O34" s="801"/>
      <c r="P34" s="801"/>
      <c r="Q34" s="801"/>
      <c r="R34" s="802"/>
    </row>
    <row r="35" spans="1:18" ht="20.100000000000001" customHeight="1" thickBot="1">
      <c r="A35" s="300"/>
      <c r="B35" s="301"/>
      <c r="C35" s="298" t="s">
        <v>594</v>
      </c>
      <c r="D35" s="299" t="s">
        <v>566</v>
      </c>
      <c r="E35" s="816" t="s">
        <v>308</v>
      </c>
      <c r="F35" s="816"/>
      <c r="G35" s="816"/>
      <c r="H35" s="816"/>
      <c r="I35" s="816"/>
      <c r="J35" s="816"/>
      <c r="K35" s="816"/>
      <c r="L35" s="816"/>
      <c r="M35" s="816"/>
      <c r="N35" s="816"/>
      <c r="O35" s="816"/>
      <c r="P35" s="816"/>
      <c r="Q35" s="816"/>
      <c r="R35" s="817"/>
    </row>
    <row r="36" spans="1:18" ht="20.100000000000001" customHeight="1">
      <c r="A36" s="300"/>
      <c r="B36" s="301"/>
      <c r="C36" s="293" t="s">
        <v>733</v>
      </c>
      <c r="D36" s="294" t="s">
        <v>566</v>
      </c>
      <c r="E36" s="810" t="s">
        <v>624</v>
      </c>
      <c r="F36" s="810"/>
      <c r="G36" s="810"/>
      <c r="H36" s="810"/>
      <c r="I36" s="810"/>
      <c r="J36" s="810"/>
      <c r="K36" s="810"/>
      <c r="L36" s="810"/>
      <c r="M36" s="810"/>
      <c r="N36" s="810"/>
      <c r="O36" s="810"/>
      <c r="P36" s="810"/>
      <c r="Q36" s="810"/>
      <c r="R36" s="811"/>
    </row>
    <row r="37" spans="1:18" ht="19.899999999999999" customHeight="1" thickBot="1">
      <c r="A37" s="309"/>
      <c r="B37" s="302"/>
      <c r="C37" s="291"/>
      <c r="D37" s="292"/>
      <c r="E37" s="812" t="s">
        <v>623</v>
      </c>
      <c r="F37" s="812"/>
      <c r="G37" s="812"/>
      <c r="H37" s="812"/>
      <c r="I37" s="812"/>
      <c r="J37" s="812"/>
      <c r="K37" s="812"/>
      <c r="L37" s="812"/>
      <c r="M37" s="812"/>
      <c r="N37" s="812"/>
      <c r="O37" s="812"/>
      <c r="P37" s="812"/>
      <c r="Q37" s="812"/>
      <c r="R37" s="813"/>
    </row>
    <row r="38" spans="1:18" ht="19.899999999999999" customHeight="1" thickBot="1">
      <c r="A38" s="309"/>
      <c r="B38" s="302"/>
      <c r="C38" s="298" t="s">
        <v>631</v>
      </c>
      <c r="D38" s="299" t="s">
        <v>566</v>
      </c>
      <c r="E38" s="816" t="s">
        <v>630</v>
      </c>
      <c r="F38" s="816"/>
      <c r="G38" s="816"/>
      <c r="H38" s="816"/>
      <c r="I38" s="816"/>
      <c r="J38" s="816"/>
      <c r="K38" s="816"/>
      <c r="L38" s="816"/>
      <c r="M38" s="816"/>
      <c r="N38" s="816"/>
      <c r="O38" s="816"/>
      <c r="P38" s="816"/>
      <c r="Q38" s="816"/>
      <c r="R38" s="817"/>
    </row>
    <row r="39" spans="1:18" ht="19.899999999999999" customHeight="1">
      <c r="A39" s="309"/>
      <c r="B39" s="302"/>
      <c r="C39" s="293" t="s">
        <v>684</v>
      </c>
      <c r="D39" s="294" t="s">
        <v>566</v>
      </c>
      <c r="E39" s="814" t="s">
        <v>700</v>
      </c>
      <c r="F39" s="814"/>
      <c r="G39" s="814"/>
      <c r="H39" s="814"/>
      <c r="I39" s="814"/>
      <c r="J39" s="814"/>
      <c r="K39" s="814"/>
      <c r="L39" s="814"/>
      <c r="M39" s="814"/>
      <c r="N39" s="814"/>
      <c r="O39" s="814"/>
      <c r="P39" s="814"/>
      <c r="Q39" s="814"/>
      <c r="R39" s="815"/>
    </row>
    <row r="40" spans="1:18" ht="20.100000000000001" customHeight="1" thickBot="1">
      <c r="A40" s="300"/>
      <c r="B40" s="301"/>
      <c r="C40" s="424"/>
      <c r="D40" s="425"/>
      <c r="E40" s="818"/>
      <c r="F40" s="818"/>
      <c r="G40" s="818"/>
      <c r="H40" s="818"/>
      <c r="I40" s="818"/>
      <c r="J40" s="818"/>
      <c r="K40" s="818"/>
      <c r="L40" s="818"/>
      <c r="M40" s="818"/>
      <c r="N40" s="818"/>
      <c r="O40" s="818"/>
      <c r="P40" s="818"/>
      <c r="Q40" s="818"/>
      <c r="R40" s="819"/>
    </row>
    <row r="41" spans="1:18" ht="20.100000000000001" customHeight="1">
      <c r="A41" s="300"/>
      <c r="B41" s="301"/>
      <c r="C41" s="310"/>
      <c r="D41" s="310"/>
      <c r="E41" s="422"/>
      <c r="F41" s="422"/>
      <c r="G41" s="422"/>
      <c r="H41" s="422"/>
      <c r="I41" s="422"/>
      <c r="J41" s="422"/>
      <c r="K41" s="422"/>
      <c r="L41" s="422"/>
      <c r="M41" s="422"/>
      <c r="N41" s="422"/>
      <c r="O41" s="422"/>
      <c r="P41" s="422"/>
      <c r="Q41" s="422"/>
      <c r="R41" s="423"/>
    </row>
    <row r="42" spans="1:18" ht="20.100000000000001" customHeight="1">
      <c r="A42" s="304" t="s">
        <v>300</v>
      </c>
      <c r="B42" s="305" t="s">
        <v>421</v>
      </c>
      <c r="C42" s="301"/>
      <c r="D42" s="301"/>
      <c r="E42" s="301"/>
      <c r="F42" s="301"/>
      <c r="G42" s="301"/>
      <c r="H42" s="301"/>
      <c r="I42" s="301"/>
      <c r="J42" s="301"/>
      <c r="K42" s="301"/>
      <c r="L42" s="302"/>
      <c r="M42" s="302"/>
      <c r="N42" s="302"/>
      <c r="O42" s="302"/>
      <c r="P42" s="302"/>
      <c r="Q42" s="302"/>
      <c r="R42" s="303"/>
    </row>
    <row r="43" spans="1:18" ht="20.100000000000001" customHeight="1">
      <c r="A43" s="300"/>
      <c r="B43" s="301"/>
      <c r="C43" s="301"/>
      <c r="D43" s="301"/>
      <c r="E43" s="301"/>
      <c r="F43" s="301"/>
      <c r="G43" s="301"/>
      <c r="H43" s="301"/>
      <c r="I43" s="301"/>
      <c r="J43" s="301"/>
      <c r="K43" s="301"/>
      <c r="L43" s="302"/>
      <c r="M43" s="302"/>
      <c r="N43" s="302"/>
      <c r="O43" s="302"/>
      <c r="P43" s="302"/>
      <c r="Q43" s="302"/>
      <c r="R43" s="303"/>
    </row>
    <row r="44" spans="1:18" ht="20.100000000000001" customHeight="1" thickBot="1">
      <c r="A44" s="311"/>
      <c r="B44" s="312"/>
      <c r="C44" s="312"/>
      <c r="D44" s="312"/>
      <c r="E44" s="312"/>
      <c r="F44" s="312"/>
      <c r="G44" s="312"/>
      <c r="H44" s="312"/>
      <c r="I44" s="312"/>
      <c r="J44" s="312"/>
      <c r="K44" s="312"/>
      <c r="L44" s="312"/>
      <c r="M44" s="312"/>
      <c r="N44" s="312"/>
      <c r="O44" s="312"/>
      <c r="P44" s="312"/>
      <c r="Q44" s="312"/>
      <c r="R44" s="313"/>
    </row>
    <row r="47" spans="1:18" ht="15.75">
      <c r="A47" s="135"/>
      <c r="B47" s="4"/>
    </row>
  </sheetData>
  <sheetProtection algorithmName="SHA-512" hashValue="yeJdTtMdOBqNx7PlNRCf1Huox8gdCIDRJzF0si+22NOS8AhshgrgupviP8QZGtcIY40/H5NoaO5LrfKNSdZeJg==" saltValue="XB8XI/jmBFCDmUtYAFHggA==" spinCount="100000" sheet="1" objects="1" scenarios="1"/>
  <mergeCells count="34">
    <mergeCell ref="E39:R40"/>
    <mergeCell ref="A1:R3"/>
    <mergeCell ref="E26:R26"/>
    <mergeCell ref="E23:R23"/>
    <mergeCell ref="E24:R24"/>
    <mergeCell ref="C12:R12"/>
    <mergeCell ref="E22:R22"/>
    <mergeCell ref="E14:R14"/>
    <mergeCell ref="E16:R16"/>
    <mergeCell ref="C16:C21"/>
    <mergeCell ref="A7:R7"/>
    <mergeCell ref="A6:R6"/>
    <mergeCell ref="A4:R4"/>
    <mergeCell ref="E15:R15"/>
    <mergeCell ref="E38:R38"/>
    <mergeCell ref="A5:R5"/>
    <mergeCell ref="E36:R36"/>
    <mergeCell ref="E37:R37"/>
    <mergeCell ref="E19:R19"/>
    <mergeCell ref="E20:R20"/>
    <mergeCell ref="E21:R21"/>
    <mergeCell ref="E33:R33"/>
    <mergeCell ref="E32:R32"/>
    <mergeCell ref="E35:R35"/>
    <mergeCell ref="E31:R31"/>
    <mergeCell ref="E34:R34"/>
    <mergeCell ref="E25:R25"/>
    <mergeCell ref="E30:R30"/>
    <mergeCell ref="E28:R29"/>
    <mergeCell ref="E18:R18"/>
    <mergeCell ref="E27:R27"/>
    <mergeCell ref="C22:C25"/>
    <mergeCell ref="C13:R13"/>
    <mergeCell ref="E17:R17"/>
  </mergeCells>
  <pageMargins left="0.7" right="0.7" top="0.75" bottom="0.75" header="0.3" footer="0.3"/>
  <pageSetup scale="61"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dimension ref="A1:W53"/>
  <sheetViews>
    <sheetView topLeftCell="A2" zoomScale="80" zoomScaleNormal="80" workbookViewId="0">
      <selection activeCell="S21" sqref="S21"/>
    </sheetView>
  </sheetViews>
  <sheetFormatPr defaultColWidth="9.140625" defaultRowHeight="15.75"/>
  <cols>
    <col min="1" max="1" width="38.140625" style="77" bestFit="1" customWidth="1"/>
    <col min="2" max="2" width="9.5703125" style="77" hidden="1" customWidth="1"/>
    <col min="3" max="3" width="13" style="77" hidden="1" customWidth="1"/>
    <col min="4" max="4" width="11.5703125" style="77" hidden="1" customWidth="1"/>
    <col min="5" max="5" width="8.7109375" style="77" hidden="1" customWidth="1"/>
    <col min="6" max="6" width="12.7109375" style="77" hidden="1" customWidth="1"/>
    <col min="7" max="7" width="9.28515625" style="77" hidden="1" customWidth="1"/>
    <col min="8" max="9" width="7.42578125" style="77" hidden="1" customWidth="1"/>
    <col min="10" max="10" width="9.5703125" style="77" hidden="1" customWidth="1"/>
    <col min="11" max="11" width="7.28515625" style="77" hidden="1" customWidth="1"/>
    <col min="12" max="12" width="10.7109375" style="77" hidden="1" customWidth="1"/>
    <col min="13" max="13" width="8.85546875" style="77" customWidth="1"/>
    <col min="14" max="14" width="14.28515625" style="77" bestFit="1" customWidth="1"/>
    <col min="15" max="16384" width="9.140625" style="77"/>
  </cols>
  <sheetData>
    <row r="1" spans="1:23" hidden="1">
      <c r="A1" s="77">
        <v>1</v>
      </c>
      <c r="B1" s="77">
        <v>2</v>
      </c>
      <c r="C1" s="77">
        <v>3</v>
      </c>
      <c r="D1" s="77">
        <v>4</v>
      </c>
      <c r="E1" s="77">
        <v>5</v>
      </c>
      <c r="F1" s="77">
        <v>6</v>
      </c>
      <c r="G1" s="77">
        <v>7</v>
      </c>
      <c r="H1" s="77">
        <v>8</v>
      </c>
      <c r="I1" s="77">
        <v>9</v>
      </c>
      <c r="J1" s="77">
        <v>10</v>
      </c>
      <c r="K1" s="77">
        <v>11</v>
      </c>
      <c r="L1" s="77">
        <v>12</v>
      </c>
      <c r="M1" s="77">
        <v>13</v>
      </c>
      <c r="N1" s="77">
        <v>14</v>
      </c>
    </row>
    <row r="2" spans="1:23">
      <c r="B2" s="908" t="s">
        <v>0</v>
      </c>
      <c r="C2" s="908"/>
      <c r="D2" s="908"/>
      <c r="E2" s="908"/>
      <c r="F2" s="908"/>
      <c r="G2" s="908"/>
      <c r="H2" s="908"/>
      <c r="I2" s="908"/>
    </row>
    <row r="3" spans="1:23">
      <c r="A3" s="440" t="s">
        <v>1</v>
      </c>
      <c r="B3" s="96" t="s">
        <v>2</v>
      </c>
      <c r="C3" s="96" t="s">
        <v>3</v>
      </c>
      <c r="D3" s="96" t="s">
        <v>4</v>
      </c>
      <c r="E3" s="96" t="s">
        <v>5</v>
      </c>
      <c r="F3" s="96" t="s">
        <v>6</v>
      </c>
      <c r="G3" s="96" t="s">
        <v>7</v>
      </c>
      <c r="H3" s="96" t="s">
        <v>8</v>
      </c>
      <c r="I3" s="96" t="s">
        <v>9</v>
      </c>
      <c r="J3" s="96" t="s">
        <v>10</v>
      </c>
      <c r="K3" s="96" t="s">
        <v>11</v>
      </c>
      <c r="L3" s="96" t="s">
        <v>12</v>
      </c>
      <c r="M3" s="96"/>
      <c r="N3" s="589" t="s">
        <v>153</v>
      </c>
    </row>
    <row r="4" spans="1:23" hidden="1">
      <c r="A4" s="96" t="s">
        <v>13</v>
      </c>
      <c r="B4" s="96"/>
      <c r="C4" s="96"/>
      <c r="D4" s="96"/>
      <c r="E4" s="96"/>
      <c r="F4" s="96"/>
      <c r="G4" s="96"/>
      <c r="H4" s="96"/>
      <c r="I4" s="96"/>
      <c r="J4" s="96"/>
      <c r="K4" s="96"/>
      <c r="L4" s="96">
        <v>1</v>
      </c>
      <c r="M4" s="96" t="s">
        <v>13</v>
      </c>
      <c r="N4" s="77">
        <v>0</v>
      </c>
    </row>
    <row r="5" spans="1:23">
      <c r="A5" s="96" t="s">
        <v>17</v>
      </c>
      <c r="B5" s="96">
        <f>11.7*0.1</f>
        <v>1.17</v>
      </c>
      <c r="C5" s="96">
        <f>11.7*0.34</f>
        <v>3.9780000000000002</v>
      </c>
      <c r="D5" s="96"/>
      <c r="E5" s="96"/>
      <c r="F5" s="96"/>
      <c r="G5" s="96"/>
      <c r="H5" s="96"/>
      <c r="I5" s="96"/>
      <c r="J5" s="96">
        <v>11.7</v>
      </c>
      <c r="K5" s="96" t="s">
        <v>15</v>
      </c>
      <c r="L5" s="96">
        <v>2000</v>
      </c>
      <c r="M5" s="96" t="s">
        <v>16</v>
      </c>
      <c r="N5" s="590">
        <v>455</v>
      </c>
      <c r="P5" s="315"/>
    </row>
    <row r="6" spans="1:23">
      <c r="A6" s="96" t="s">
        <v>23</v>
      </c>
      <c r="B6" s="96">
        <v>0.21</v>
      </c>
      <c r="C6" s="96"/>
      <c r="D6" s="96"/>
      <c r="E6" s="96">
        <v>0.24</v>
      </c>
      <c r="F6" s="96"/>
      <c r="G6" s="96"/>
      <c r="H6" s="96"/>
      <c r="I6" s="96"/>
      <c r="J6" s="96">
        <v>1</v>
      </c>
      <c r="K6" s="96" t="s">
        <v>19</v>
      </c>
      <c r="L6" s="96">
        <v>2000</v>
      </c>
      <c r="M6" s="96" t="s">
        <v>16</v>
      </c>
      <c r="N6" s="590">
        <v>365</v>
      </c>
      <c r="P6" s="316"/>
    </row>
    <row r="7" spans="1:23">
      <c r="A7" s="96" t="s">
        <v>27</v>
      </c>
      <c r="B7" s="96">
        <v>0.82</v>
      </c>
      <c r="C7" s="96"/>
      <c r="D7" s="96"/>
      <c r="E7" s="96"/>
      <c r="F7" s="96"/>
      <c r="G7" s="96"/>
      <c r="H7" s="96"/>
      <c r="I7" s="96"/>
      <c r="J7" s="96">
        <v>1</v>
      </c>
      <c r="K7" s="96" t="s">
        <v>19</v>
      </c>
      <c r="L7" s="96">
        <v>2000</v>
      </c>
      <c r="M7" s="96" t="s">
        <v>16</v>
      </c>
      <c r="N7" s="590">
        <v>0</v>
      </c>
      <c r="P7" s="906"/>
      <c r="Q7" s="906"/>
      <c r="R7" s="906"/>
      <c r="S7" s="906"/>
      <c r="T7" s="906"/>
      <c r="U7" s="906"/>
      <c r="V7" s="906"/>
      <c r="W7" s="906"/>
    </row>
    <row r="8" spans="1:23">
      <c r="A8" s="96" t="s">
        <v>22</v>
      </c>
      <c r="B8" s="96">
        <v>0.18</v>
      </c>
      <c r="C8" s="96">
        <v>0.46</v>
      </c>
      <c r="D8" s="96"/>
      <c r="E8" s="96"/>
      <c r="F8" s="96"/>
      <c r="G8" s="96"/>
      <c r="H8" s="96"/>
      <c r="I8" s="96"/>
      <c r="J8" s="96">
        <v>1</v>
      </c>
      <c r="K8" s="96" t="s">
        <v>19</v>
      </c>
      <c r="L8" s="96">
        <v>2000</v>
      </c>
      <c r="M8" s="96" t="s">
        <v>16</v>
      </c>
      <c r="N8" s="590">
        <v>550</v>
      </c>
    </row>
    <row r="9" spans="1:23">
      <c r="A9" s="96" t="s">
        <v>26</v>
      </c>
      <c r="B9" s="96"/>
      <c r="C9" s="96"/>
      <c r="D9" s="96"/>
      <c r="E9" s="96">
        <v>0.17</v>
      </c>
      <c r="F9" s="96"/>
      <c r="G9" s="96">
        <v>0.21</v>
      </c>
      <c r="H9" s="96"/>
      <c r="I9" s="96"/>
      <c r="J9" s="96">
        <v>1</v>
      </c>
      <c r="K9" s="96" t="s">
        <v>19</v>
      </c>
      <c r="L9" s="96">
        <v>2000</v>
      </c>
      <c r="M9" s="96" t="s">
        <v>16</v>
      </c>
      <c r="N9" s="590">
        <v>0</v>
      </c>
    </row>
    <row r="10" spans="1:23">
      <c r="A10" s="96" t="s">
        <v>24</v>
      </c>
      <c r="B10" s="96"/>
      <c r="C10" s="96"/>
      <c r="D10" s="96">
        <v>0.22</v>
      </c>
      <c r="E10" s="96">
        <v>0.21</v>
      </c>
      <c r="F10" s="96">
        <v>0.11</v>
      </c>
      <c r="G10" s="96"/>
      <c r="H10" s="96"/>
      <c r="I10" s="96"/>
      <c r="J10" s="96">
        <v>1</v>
      </c>
      <c r="K10" s="96" t="s">
        <v>19</v>
      </c>
      <c r="L10" s="96">
        <v>2000</v>
      </c>
      <c r="M10" s="96" t="s">
        <v>16</v>
      </c>
      <c r="N10" s="590">
        <v>0</v>
      </c>
    </row>
    <row r="11" spans="1:23">
      <c r="A11" s="96" t="s">
        <v>146</v>
      </c>
      <c r="B11" s="96">
        <v>0.11</v>
      </c>
      <c r="C11" s="96">
        <v>0.52</v>
      </c>
      <c r="D11" s="96"/>
      <c r="E11" s="96"/>
      <c r="F11" s="96"/>
      <c r="G11" s="96"/>
      <c r="H11" s="96"/>
      <c r="I11" s="96"/>
      <c r="J11" s="96">
        <v>1</v>
      </c>
      <c r="K11" s="96" t="s">
        <v>19</v>
      </c>
      <c r="L11" s="96">
        <v>2000</v>
      </c>
      <c r="M11" s="96" t="s">
        <v>16</v>
      </c>
      <c r="N11" s="590">
        <v>0</v>
      </c>
    </row>
    <row r="12" spans="1:23">
      <c r="A12" s="12" t="s">
        <v>701</v>
      </c>
      <c r="B12" s="12">
        <v>0.12</v>
      </c>
      <c r="C12" s="12">
        <v>0.4</v>
      </c>
      <c r="D12" s="12"/>
      <c r="E12" s="12">
        <v>0.1</v>
      </c>
      <c r="F12" s="12"/>
      <c r="G12" s="12"/>
      <c r="H12" s="12">
        <v>0.01</v>
      </c>
      <c r="I12" s="12"/>
      <c r="J12" s="12">
        <v>1</v>
      </c>
      <c r="K12" s="12" t="s">
        <v>19</v>
      </c>
      <c r="L12" s="12">
        <v>2000</v>
      </c>
      <c r="M12" s="12" t="s">
        <v>16</v>
      </c>
      <c r="N12" s="590">
        <v>0</v>
      </c>
    </row>
    <row r="13" spans="1:23">
      <c r="A13" s="96" t="s">
        <v>20</v>
      </c>
      <c r="B13" s="96"/>
      <c r="C13" s="96"/>
      <c r="D13" s="96">
        <f>0.62</f>
        <v>0.62</v>
      </c>
      <c r="E13" s="96"/>
      <c r="F13" s="96"/>
      <c r="G13" s="96"/>
      <c r="H13" s="96"/>
      <c r="I13" s="96"/>
      <c r="J13" s="96">
        <v>1</v>
      </c>
      <c r="K13" s="96" t="s">
        <v>19</v>
      </c>
      <c r="L13" s="96">
        <v>2000</v>
      </c>
      <c r="M13" s="96" t="s">
        <v>16</v>
      </c>
      <c r="N13" s="590">
        <v>355</v>
      </c>
    </row>
    <row r="14" spans="1:23">
      <c r="A14" s="96" t="s">
        <v>706</v>
      </c>
      <c r="B14" s="96"/>
      <c r="C14" s="96"/>
      <c r="D14" s="96">
        <v>0.52</v>
      </c>
      <c r="E14" s="96">
        <v>0.18</v>
      </c>
      <c r="F14" s="96"/>
      <c r="G14" s="96"/>
      <c r="H14" s="96"/>
      <c r="I14" s="96"/>
      <c r="J14" s="96">
        <v>1</v>
      </c>
      <c r="K14" s="96" t="s">
        <v>19</v>
      </c>
      <c r="L14" s="96">
        <v>2000</v>
      </c>
      <c r="M14" s="96" t="s">
        <v>16</v>
      </c>
      <c r="N14" s="590">
        <v>0</v>
      </c>
    </row>
    <row r="15" spans="1:23">
      <c r="A15" s="96" t="s">
        <v>21</v>
      </c>
      <c r="B15" s="96">
        <f>11.04*0.12</f>
        <v>1.3247999999999998</v>
      </c>
      <c r="C15" s="96"/>
      <c r="D15" s="96"/>
      <c r="E15" s="96">
        <f>11.04*0.26</f>
        <v>2.8704000000000001</v>
      </c>
      <c r="F15" s="96"/>
      <c r="G15" s="96"/>
      <c r="H15" s="96"/>
      <c r="I15" s="96"/>
      <c r="J15" s="96">
        <v>11.04</v>
      </c>
      <c r="K15" s="96" t="s">
        <v>15</v>
      </c>
      <c r="L15" s="96">
        <v>2000</v>
      </c>
      <c r="M15" s="96" t="s">
        <v>16</v>
      </c>
      <c r="N15" s="590">
        <v>330</v>
      </c>
    </row>
    <row r="16" spans="1:23">
      <c r="A16" s="96" t="s">
        <v>705</v>
      </c>
      <c r="B16" s="96"/>
      <c r="C16" s="96">
        <v>0.46</v>
      </c>
      <c r="D16" s="96"/>
      <c r="E16" s="96"/>
      <c r="F16" s="96"/>
      <c r="G16" s="96"/>
      <c r="H16" s="96"/>
      <c r="I16" s="96"/>
      <c r="J16" s="96">
        <v>1</v>
      </c>
      <c r="K16" s="96" t="s">
        <v>19</v>
      </c>
      <c r="L16" s="96">
        <v>2000</v>
      </c>
      <c r="M16" s="96" t="s">
        <v>16</v>
      </c>
      <c r="N16" s="590">
        <v>0</v>
      </c>
    </row>
    <row r="17" spans="1:14">
      <c r="A17" s="96" t="s">
        <v>14</v>
      </c>
      <c r="B17" s="96">
        <f>10.67*0.28</f>
        <v>2.9876000000000005</v>
      </c>
      <c r="C17" s="96"/>
      <c r="D17" s="96"/>
      <c r="E17" s="96"/>
      <c r="F17" s="96"/>
      <c r="G17" s="96"/>
      <c r="H17" s="96"/>
      <c r="I17" s="96"/>
      <c r="J17" s="96">
        <v>10.67</v>
      </c>
      <c r="K17" s="96" t="s">
        <v>15</v>
      </c>
      <c r="L17" s="96">
        <v>2000</v>
      </c>
      <c r="M17" s="96" t="s">
        <v>16</v>
      </c>
      <c r="N17" s="590">
        <v>245</v>
      </c>
    </row>
    <row r="18" spans="1:14">
      <c r="A18" s="96" t="s">
        <v>765</v>
      </c>
      <c r="B18" s="96">
        <f>J18*0.32</f>
        <v>3.5392000000000001</v>
      </c>
      <c r="C18" s="96"/>
      <c r="D18" s="96"/>
      <c r="E18" s="96"/>
      <c r="F18" s="96"/>
      <c r="G18" s="96"/>
      <c r="H18" s="96"/>
      <c r="I18" s="96"/>
      <c r="J18" s="96">
        <v>11.06</v>
      </c>
      <c r="K18" s="96" t="s">
        <v>15</v>
      </c>
      <c r="L18" s="96">
        <v>2001</v>
      </c>
      <c r="M18" s="96" t="s">
        <v>16</v>
      </c>
      <c r="N18" s="590">
        <v>0</v>
      </c>
    </row>
    <row r="19" spans="1:14">
      <c r="A19" s="96" t="s">
        <v>18</v>
      </c>
      <c r="B19" s="96">
        <f>0.46</f>
        <v>0.46</v>
      </c>
      <c r="C19" s="96"/>
      <c r="D19" s="96"/>
      <c r="E19" s="96"/>
      <c r="F19" s="96"/>
      <c r="G19" s="96"/>
      <c r="H19" s="96"/>
      <c r="I19" s="96"/>
      <c r="J19" s="96">
        <v>1</v>
      </c>
      <c r="K19" s="96" t="s">
        <v>19</v>
      </c>
      <c r="L19" s="96">
        <v>2000</v>
      </c>
      <c r="M19" s="96" t="s">
        <v>16</v>
      </c>
      <c r="N19" s="590">
        <v>390</v>
      </c>
    </row>
    <row r="20" spans="1:14">
      <c r="A20" s="96" t="s">
        <v>713</v>
      </c>
      <c r="B20" s="96">
        <v>0.1</v>
      </c>
      <c r="C20" s="96">
        <v>0.1</v>
      </c>
      <c r="D20" s="96">
        <v>0.1</v>
      </c>
      <c r="E20" s="96"/>
      <c r="F20" s="96"/>
      <c r="G20" s="96"/>
      <c r="H20" s="96"/>
      <c r="I20" s="96"/>
      <c r="J20" s="96">
        <v>1</v>
      </c>
      <c r="K20" s="96" t="s">
        <v>19</v>
      </c>
      <c r="L20" s="96">
        <v>2000</v>
      </c>
      <c r="M20" s="96" t="s">
        <v>16</v>
      </c>
      <c r="N20" s="590">
        <v>0</v>
      </c>
    </row>
    <row r="21" spans="1:14">
      <c r="A21" s="96" t="s">
        <v>711</v>
      </c>
      <c r="B21" s="96">
        <v>0.12</v>
      </c>
      <c r="C21" s="96">
        <v>0.24</v>
      </c>
      <c r="D21" s="96">
        <v>0.24</v>
      </c>
      <c r="E21" s="96"/>
      <c r="F21" s="96"/>
      <c r="G21" s="96"/>
      <c r="H21" s="96"/>
      <c r="I21" s="96"/>
      <c r="J21" s="96">
        <v>1</v>
      </c>
      <c r="K21" s="96" t="s">
        <v>19</v>
      </c>
      <c r="L21" s="96">
        <v>2000</v>
      </c>
      <c r="M21" s="96" t="s">
        <v>16</v>
      </c>
      <c r="N21" s="590">
        <v>0</v>
      </c>
    </row>
    <row r="22" spans="1:14">
      <c r="A22" s="96" t="s">
        <v>710</v>
      </c>
      <c r="B22" s="96">
        <v>0.15</v>
      </c>
      <c r="C22" s="96">
        <v>0.15</v>
      </c>
      <c r="D22" s="96">
        <v>0.15</v>
      </c>
      <c r="E22" s="96"/>
      <c r="F22" s="96"/>
      <c r="G22" s="96"/>
      <c r="H22" s="96"/>
      <c r="I22" s="96"/>
      <c r="J22" s="96">
        <v>1</v>
      </c>
      <c r="K22" s="96" t="s">
        <v>19</v>
      </c>
      <c r="L22" s="96">
        <v>2000</v>
      </c>
      <c r="M22" s="96" t="s">
        <v>16</v>
      </c>
      <c r="N22" s="590">
        <v>0</v>
      </c>
    </row>
    <row r="23" spans="1:14">
      <c r="A23" s="96" t="s">
        <v>709</v>
      </c>
      <c r="B23" s="96">
        <f>0.158*J23</f>
        <v>1.738</v>
      </c>
      <c r="C23" s="96">
        <f>0.15*J23</f>
        <v>1.65</v>
      </c>
      <c r="D23" s="96">
        <f>0.02*J23</f>
        <v>0.22</v>
      </c>
      <c r="E23" s="96"/>
      <c r="F23" s="96"/>
      <c r="G23" s="96"/>
      <c r="H23" s="96"/>
      <c r="I23" s="96"/>
      <c r="J23" s="96">
        <v>11</v>
      </c>
      <c r="K23" s="96" t="s">
        <v>15</v>
      </c>
      <c r="L23" s="96">
        <v>2000</v>
      </c>
      <c r="M23" s="96" t="s">
        <v>16</v>
      </c>
      <c r="N23" s="590">
        <v>0</v>
      </c>
    </row>
    <row r="24" spans="1:14">
      <c r="A24" s="96" t="s">
        <v>708</v>
      </c>
      <c r="B24" s="96">
        <v>0.19</v>
      </c>
      <c r="C24" s="96">
        <v>0.19</v>
      </c>
      <c r="D24" s="96">
        <v>0.19</v>
      </c>
      <c r="E24" s="96"/>
      <c r="F24" s="96"/>
      <c r="G24" s="96"/>
      <c r="H24" s="96"/>
      <c r="I24" s="96"/>
      <c r="J24" s="96">
        <v>1</v>
      </c>
      <c r="K24" s="96" t="s">
        <v>19</v>
      </c>
      <c r="L24" s="96">
        <v>2000</v>
      </c>
      <c r="M24" s="96" t="s">
        <v>16</v>
      </c>
      <c r="N24" s="590">
        <v>0</v>
      </c>
    </row>
    <row r="25" spans="1:14">
      <c r="A25" s="96" t="s">
        <v>712</v>
      </c>
      <c r="B25" s="96">
        <v>0.05</v>
      </c>
      <c r="C25" s="96">
        <v>0.1</v>
      </c>
      <c r="D25" s="96">
        <v>0.05</v>
      </c>
      <c r="E25" s="96"/>
      <c r="F25" s="96"/>
      <c r="G25" s="96"/>
      <c r="H25" s="96"/>
      <c r="I25" s="96"/>
      <c r="J25" s="96">
        <v>1</v>
      </c>
      <c r="K25" s="96" t="s">
        <v>19</v>
      </c>
      <c r="L25" s="96">
        <v>2000</v>
      </c>
      <c r="M25" s="96" t="s">
        <v>16</v>
      </c>
      <c r="N25" s="590">
        <v>0</v>
      </c>
    </row>
    <row r="26" spans="1:14">
      <c r="A26" s="96" t="s">
        <v>714</v>
      </c>
      <c r="B26" s="96">
        <v>0.06</v>
      </c>
      <c r="C26" s="96">
        <v>0.12</v>
      </c>
      <c r="D26" s="96">
        <v>0.12</v>
      </c>
      <c r="E26" s="96"/>
      <c r="F26" s="96"/>
      <c r="G26" s="96"/>
      <c r="H26" s="96"/>
      <c r="I26" s="96"/>
      <c r="J26" s="96">
        <v>1</v>
      </c>
      <c r="K26" s="96" t="s">
        <v>19</v>
      </c>
      <c r="L26" s="96">
        <v>2000</v>
      </c>
      <c r="M26" s="96" t="s">
        <v>16</v>
      </c>
      <c r="N26" s="590">
        <v>0</v>
      </c>
    </row>
    <row r="27" spans="1:14">
      <c r="A27" s="96" t="s">
        <v>707</v>
      </c>
      <c r="B27" s="96">
        <f>10.97*0.09</f>
        <v>0.98730000000000007</v>
      </c>
      <c r="C27" s="96">
        <f>10.97*0.18</f>
        <v>1.9746000000000001</v>
      </c>
      <c r="D27" s="96">
        <f>10.97*0.09</f>
        <v>0.98730000000000007</v>
      </c>
      <c r="E27" s="96"/>
      <c r="F27" s="96"/>
      <c r="G27" s="96"/>
      <c r="H27" s="96"/>
      <c r="I27" s="96"/>
      <c r="J27" s="96">
        <v>10.97</v>
      </c>
      <c r="K27" s="96" t="s">
        <v>15</v>
      </c>
      <c r="L27" s="96">
        <v>1</v>
      </c>
      <c r="M27" s="96" t="s">
        <v>25</v>
      </c>
      <c r="N27" s="590">
        <v>0</v>
      </c>
    </row>
    <row r="28" spans="1:14">
      <c r="A28" s="96"/>
      <c r="B28" s="96"/>
      <c r="C28" s="96"/>
      <c r="D28" s="96"/>
      <c r="E28" s="96"/>
      <c r="F28" s="96"/>
      <c r="G28" s="96"/>
      <c r="H28" s="96"/>
      <c r="I28" s="96"/>
      <c r="J28" s="96"/>
      <c r="K28" s="96"/>
      <c r="L28" s="96"/>
      <c r="M28" s="96"/>
      <c r="N28" s="591"/>
    </row>
    <row r="29" spans="1:14">
      <c r="A29" s="96"/>
      <c r="B29" s="96"/>
      <c r="C29" s="96"/>
      <c r="D29" s="96"/>
      <c r="E29" s="96"/>
      <c r="F29" s="96"/>
      <c r="G29" s="96"/>
      <c r="H29" s="96"/>
      <c r="I29" s="96"/>
      <c r="J29" s="96"/>
      <c r="K29" s="96"/>
      <c r="L29" s="96"/>
      <c r="M29" s="96"/>
      <c r="N29" s="591"/>
    </row>
    <row r="30" spans="1:14">
      <c r="A30" s="440" t="s">
        <v>28</v>
      </c>
      <c r="B30" s="96" t="s">
        <v>2</v>
      </c>
      <c r="C30" s="96" t="s">
        <v>3</v>
      </c>
      <c r="D30" s="96" t="s">
        <v>4</v>
      </c>
      <c r="E30" s="96" t="s">
        <v>5</v>
      </c>
      <c r="F30" s="96" t="s">
        <v>6</v>
      </c>
      <c r="G30" s="96" t="s">
        <v>7</v>
      </c>
      <c r="H30" s="96" t="s">
        <v>8</v>
      </c>
      <c r="I30" s="96" t="s">
        <v>9</v>
      </c>
      <c r="J30" s="96" t="s">
        <v>10</v>
      </c>
      <c r="K30" s="96" t="s">
        <v>11</v>
      </c>
      <c r="L30" s="96" t="s">
        <v>12</v>
      </c>
      <c r="M30" s="96"/>
      <c r="N30" s="589" t="s">
        <v>153</v>
      </c>
    </row>
    <row r="31" spans="1:14" ht="15.6" hidden="1" customHeight="1">
      <c r="A31" s="96" t="s">
        <v>13</v>
      </c>
      <c r="B31" s="96"/>
      <c r="C31" s="96"/>
      <c r="D31" s="96"/>
      <c r="E31" s="96"/>
      <c r="F31" s="96"/>
      <c r="G31" s="96"/>
      <c r="H31" s="96"/>
      <c r="I31" s="96"/>
      <c r="J31" s="96"/>
      <c r="K31" s="96"/>
      <c r="L31" s="96">
        <v>1</v>
      </c>
      <c r="M31" s="96" t="s">
        <v>13</v>
      </c>
      <c r="N31" s="591">
        <v>0</v>
      </c>
    </row>
    <row r="32" spans="1:14">
      <c r="A32" s="96" t="s">
        <v>29</v>
      </c>
      <c r="B32" s="96"/>
      <c r="C32" s="96"/>
      <c r="D32" s="96"/>
      <c r="E32" s="96"/>
      <c r="F32" s="96"/>
      <c r="G32" s="96"/>
      <c r="H32" s="96"/>
      <c r="I32" s="96">
        <v>0.14299999999999999</v>
      </c>
      <c r="J32" s="96">
        <v>1</v>
      </c>
      <c r="K32" s="96" t="s">
        <v>19</v>
      </c>
      <c r="L32" s="96">
        <v>1</v>
      </c>
      <c r="M32" s="96" t="s">
        <v>30</v>
      </c>
      <c r="N32" s="590">
        <v>1.08</v>
      </c>
    </row>
    <row r="33" spans="1:14">
      <c r="A33" s="96" t="s">
        <v>31</v>
      </c>
      <c r="B33" s="96"/>
      <c r="C33" s="96"/>
      <c r="D33" s="96"/>
      <c r="E33" s="96"/>
      <c r="F33" s="96"/>
      <c r="G33" s="96"/>
      <c r="H33" s="96">
        <v>0.35499999999999998</v>
      </c>
      <c r="I33" s="96"/>
      <c r="J33" s="96">
        <v>1</v>
      </c>
      <c r="K33" s="96" t="s">
        <v>19</v>
      </c>
      <c r="L33" s="96">
        <v>1</v>
      </c>
      <c r="M33" s="96" t="s">
        <v>30</v>
      </c>
      <c r="N33" s="590">
        <v>1.3</v>
      </c>
    </row>
    <row r="34" spans="1:14">
      <c r="A34" s="96" t="s">
        <v>441</v>
      </c>
      <c r="B34" s="96">
        <v>0.318</v>
      </c>
      <c r="C34" s="96"/>
      <c r="D34" s="96"/>
      <c r="E34" s="96"/>
      <c r="F34" s="96"/>
      <c r="G34" s="96"/>
      <c r="H34" s="96">
        <v>0.318</v>
      </c>
      <c r="I34" s="96"/>
      <c r="J34" s="96">
        <v>1</v>
      </c>
      <c r="K34" s="96" t="s">
        <v>32</v>
      </c>
      <c r="L34" s="96">
        <v>4</v>
      </c>
      <c r="M34" s="96" t="s">
        <v>25</v>
      </c>
      <c r="N34" s="590">
        <v>12</v>
      </c>
    </row>
    <row r="35" spans="1:14">
      <c r="A35" s="96" t="s">
        <v>442</v>
      </c>
      <c r="B35" s="96"/>
      <c r="C35" s="96"/>
      <c r="D35" s="96"/>
      <c r="E35" s="96"/>
      <c r="F35" s="96"/>
      <c r="G35" s="96"/>
      <c r="H35" s="96"/>
      <c r="I35" s="96">
        <f>(11.12*0.25)*0.1</f>
        <v>0.27799999999999997</v>
      </c>
      <c r="J35" s="96">
        <v>1</v>
      </c>
      <c r="K35" s="96" t="s">
        <v>32</v>
      </c>
      <c r="L35" s="96">
        <v>4</v>
      </c>
      <c r="M35" s="96" t="s">
        <v>25</v>
      </c>
      <c r="N35" s="590">
        <v>12</v>
      </c>
    </row>
    <row r="36" spans="1:14">
      <c r="A36" s="96"/>
      <c r="B36" s="96"/>
      <c r="C36" s="96"/>
      <c r="D36" s="96"/>
      <c r="E36" s="96"/>
      <c r="F36" s="96"/>
      <c r="G36" s="96"/>
      <c r="H36" s="96"/>
      <c r="I36" s="96"/>
      <c r="J36" s="96"/>
      <c r="K36" s="96"/>
      <c r="L36" s="96"/>
      <c r="M36" s="96"/>
      <c r="N36" s="591"/>
    </row>
    <row r="37" spans="1:14">
      <c r="A37" s="96"/>
      <c r="B37" s="96"/>
      <c r="C37" s="96"/>
      <c r="D37" s="96"/>
      <c r="E37" s="96"/>
      <c r="F37" s="96"/>
      <c r="G37" s="96"/>
      <c r="H37" s="96"/>
      <c r="I37" s="96"/>
      <c r="J37" s="96"/>
      <c r="K37" s="96"/>
      <c r="L37" s="96"/>
      <c r="M37" s="96"/>
      <c r="N37" s="591"/>
    </row>
    <row r="38" spans="1:14">
      <c r="A38" s="440" t="s">
        <v>33</v>
      </c>
      <c r="B38" s="96"/>
      <c r="C38" s="96"/>
      <c r="D38" s="96"/>
      <c r="E38" s="96"/>
      <c r="F38" s="96"/>
      <c r="G38" s="96"/>
      <c r="H38" s="96"/>
      <c r="I38" s="96"/>
      <c r="J38" s="96"/>
      <c r="K38" s="96"/>
      <c r="L38" s="96"/>
      <c r="M38" s="96"/>
      <c r="N38" s="589" t="s">
        <v>153</v>
      </c>
    </row>
    <row r="39" spans="1:14" hidden="1">
      <c r="A39" s="96" t="s">
        <v>13</v>
      </c>
      <c r="B39" s="96"/>
      <c r="C39" s="96"/>
      <c r="D39" s="96"/>
      <c r="E39" s="96"/>
      <c r="F39" s="96"/>
      <c r="G39" s="96"/>
      <c r="H39" s="96"/>
      <c r="I39" s="96"/>
      <c r="J39" s="96"/>
      <c r="K39" s="96"/>
      <c r="L39" s="96">
        <v>1</v>
      </c>
      <c r="M39" s="96" t="s">
        <v>13</v>
      </c>
      <c r="N39" s="591">
        <v>0</v>
      </c>
    </row>
    <row r="40" spans="1:14">
      <c r="A40" s="96" t="s">
        <v>34</v>
      </c>
      <c r="B40" s="96"/>
      <c r="C40" s="96"/>
      <c r="D40" s="96"/>
      <c r="E40" s="96"/>
      <c r="F40" s="96">
        <v>0.03</v>
      </c>
      <c r="G40" s="96">
        <v>0.22</v>
      </c>
      <c r="H40" s="96"/>
      <c r="I40" s="96"/>
      <c r="J40" s="96">
        <v>1</v>
      </c>
      <c r="K40" s="96" t="s">
        <v>19</v>
      </c>
      <c r="L40" s="96">
        <v>2000</v>
      </c>
      <c r="M40" s="96" t="s">
        <v>35</v>
      </c>
      <c r="N40" s="590">
        <v>170</v>
      </c>
    </row>
    <row r="41" spans="1:14">
      <c r="A41" s="12" t="s">
        <v>674</v>
      </c>
      <c r="B41" s="12">
        <v>0.55000000000000004</v>
      </c>
      <c r="C41" s="12">
        <v>0.01</v>
      </c>
      <c r="D41" s="12">
        <v>3.5999999999999999E-3</v>
      </c>
      <c r="E41" s="12"/>
      <c r="F41" s="12"/>
      <c r="G41" s="12">
        <v>29</v>
      </c>
      <c r="H41" s="12"/>
      <c r="I41" s="12"/>
      <c r="J41" s="12">
        <v>1</v>
      </c>
      <c r="K41" s="12" t="s">
        <v>37</v>
      </c>
      <c r="L41" s="12">
        <v>1</v>
      </c>
      <c r="M41" s="12" t="s">
        <v>35</v>
      </c>
      <c r="N41" s="590">
        <v>0</v>
      </c>
    </row>
    <row r="42" spans="1:14">
      <c r="A42" s="96" t="s">
        <v>36</v>
      </c>
      <c r="B42" s="96"/>
      <c r="C42" s="96"/>
      <c r="D42" s="96"/>
      <c r="E42" s="96"/>
      <c r="F42" s="96">
        <v>11</v>
      </c>
      <c r="G42" s="96">
        <v>42</v>
      </c>
      <c r="H42" s="96"/>
      <c r="I42" s="96"/>
      <c r="J42" s="96">
        <v>1</v>
      </c>
      <c r="K42" s="96" t="s">
        <v>37</v>
      </c>
      <c r="L42" s="96">
        <v>1</v>
      </c>
      <c r="M42" s="96" t="s">
        <v>35</v>
      </c>
      <c r="N42" s="590">
        <v>28</v>
      </c>
    </row>
    <row r="43" spans="1:14">
      <c r="A43" s="96" t="s">
        <v>38</v>
      </c>
      <c r="B43" s="96"/>
      <c r="C43" s="96"/>
      <c r="D43" s="96"/>
      <c r="E43" s="96"/>
      <c r="F43" s="96"/>
      <c r="G43" s="96">
        <v>80</v>
      </c>
      <c r="H43" s="96"/>
      <c r="I43" s="96"/>
      <c r="J43" s="96">
        <v>1</v>
      </c>
      <c r="K43" s="96" t="s">
        <v>37</v>
      </c>
      <c r="L43" s="96">
        <v>1</v>
      </c>
      <c r="M43" s="96" t="s">
        <v>35</v>
      </c>
      <c r="N43" s="590">
        <v>28</v>
      </c>
    </row>
    <row r="44" spans="1:14">
      <c r="A44" s="96"/>
      <c r="B44" s="96"/>
      <c r="C44" s="96"/>
      <c r="D44" s="96"/>
      <c r="E44" s="96"/>
      <c r="F44" s="96"/>
      <c r="G44" s="96"/>
      <c r="H44" s="96"/>
      <c r="I44" s="96"/>
      <c r="J44" s="96"/>
      <c r="K44" s="96"/>
      <c r="L44" s="96"/>
      <c r="M44" s="96"/>
      <c r="N44" s="591"/>
    </row>
    <row r="45" spans="1:14">
      <c r="A45" s="96"/>
      <c r="B45" s="96"/>
      <c r="C45" s="96"/>
      <c r="D45" s="96"/>
      <c r="E45" s="96"/>
      <c r="F45" s="96"/>
      <c r="G45" s="96"/>
      <c r="H45" s="96"/>
      <c r="I45" s="96"/>
      <c r="J45" s="96"/>
      <c r="K45" s="96"/>
      <c r="L45" s="96"/>
      <c r="M45" s="96"/>
      <c r="N45" s="591"/>
    </row>
    <row r="46" spans="1:14">
      <c r="A46" s="440" t="s">
        <v>39</v>
      </c>
      <c r="B46" s="96"/>
      <c r="C46" s="96"/>
      <c r="D46" s="96"/>
      <c r="E46" s="96"/>
      <c r="F46" s="96"/>
      <c r="G46" s="96"/>
      <c r="H46" s="96"/>
      <c r="I46" s="96"/>
      <c r="J46" s="96"/>
      <c r="K46" s="96"/>
      <c r="L46" s="96"/>
      <c r="M46" s="96"/>
      <c r="N46" s="589" t="s">
        <v>153</v>
      </c>
    </row>
    <row r="47" spans="1:14" hidden="1">
      <c r="A47" s="96" t="s">
        <v>13</v>
      </c>
      <c r="B47" s="96"/>
      <c r="C47" s="96"/>
      <c r="D47" s="96"/>
      <c r="E47" s="96"/>
      <c r="F47" s="96"/>
      <c r="G47" s="96"/>
      <c r="H47" s="96"/>
      <c r="I47" s="96"/>
      <c r="J47" s="96"/>
      <c r="K47" s="96"/>
      <c r="L47" s="96">
        <v>1</v>
      </c>
      <c r="M47" s="96" t="s">
        <v>13</v>
      </c>
      <c r="N47" s="591">
        <v>0</v>
      </c>
    </row>
    <row r="48" spans="1:14">
      <c r="A48" s="96" t="s">
        <v>40</v>
      </c>
      <c r="B48" s="96"/>
      <c r="C48" s="96"/>
      <c r="D48" s="96"/>
      <c r="E48" s="96"/>
      <c r="F48" s="96"/>
      <c r="G48" s="96"/>
      <c r="H48" s="96"/>
      <c r="I48" s="96"/>
      <c r="J48" s="96">
        <v>1</v>
      </c>
      <c r="K48" s="96" t="s">
        <v>41</v>
      </c>
      <c r="L48" s="96">
        <v>128</v>
      </c>
      <c r="M48" s="96" t="s">
        <v>25</v>
      </c>
      <c r="N48" s="590">
        <v>48.19</v>
      </c>
    </row>
    <row r="49" spans="1:14">
      <c r="A49" s="96" t="s">
        <v>42</v>
      </c>
      <c r="B49" s="96"/>
      <c r="C49" s="96"/>
      <c r="D49" s="96"/>
      <c r="E49" s="96"/>
      <c r="F49" s="96"/>
      <c r="G49" s="96"/>
      <c r="H49" s="96"/>
      <c r="I49" s="96"/>
      <c r="J49" s="96">
        <v>1</v>
      </c>
      <c r="K49" s="96" t="s">
        <v>41</v>
      </c>
      <c r="L49" s="96">
        <v>128</v>
      </c>
      <c r="M49" s="96" t="s">
        <v>25</v>
      </c>
      <c r="N49" s="590">
        <v>63</v>
      </c>
    </row>
    <row r="50" spans="1:14">
      <c r="A50" s="96" t="s">
        <v>47</v>
      </c>
      <c r="B50" s="96"/>
      <c r="C50" s="96"/>
      <c r="D50" s="96"/>
      <c r="E50" s="96"/>
      <c r="F50" s="96"/>
      <c r="G50" s="96"/>
      <c r="H50" s="96"/>
      <c r="I50" s="96"/>
      <c r="J50" s="96">
        <v>1</v>
      </c>
      <c r="K50" s="96" t="s">
        <v>41</v>
      </c>
      <c r="L50" s="96">
        <v>128</v>
      </c>
      <c r="M50" s="96" t="s">
        <v>25</v>
      </c>
      <c r="N50" s="590">
        <v>63</v>
      </c>
    </row>
    <row r="51" spans="1:14">
      <c r="A51" s="96" t="s">
        <v>43</v>
      </c>
      <c r="B51" s="96"/>
      <c r="C51" s="96"/>
      <c r="D51" s="96"/>
      <c r="E51" s="96"/>
      <c r="F51" s="96"/>
      <c r="G51" s="96"/>
      <c r="H51" s="96"/>
      <c r="I51" s="96"/>
      <c r="J51" s="96">
        <v>1</v>
      </c>
      <c r="K51" s="96" t="s">
        <v>44</v>
      </c>
      <c r="L51" s="96">
        <v>4</v>
      </c>
      <c r="M51" s="96" t="s">
        <v>25</v>
      </c>
      <c r="N51" s="590">
        <v>85.3</v>
      </c>
    </row>
    <row r="52" spans="1:14">
      <c r="A52" s="96" t="s">
        <v>45</v>
      </c>
      <c r="B52" s="96"/>
      <c r="C52" s="96"/>
      <c r="D52" s="96"/>
      <c r="E52" s="96"/>
      <c r="F52" s="96"/>
      <c r="G52" s="96"/>
      <c r="H52" s="96"/>
      <c r="I52" s="96"/>
      <c r="J52" s="96">
        <v>1</v>
      </c>
      <c r="K52" s="96" t="s">
        <v>44</v>
      </c>
      <c r="L52" s="96">
        <v>4</v>
      </c>
      <c r="M52" s="96" t="s">
        <v>25</v>
      </c>
      <c r="N52" s="590">
        <v>100</v>
      </c>
    </row>
    <row r="53" spans="1:14">
      <c r="A53" s="96" t="s">
        <v>46</v>
      </c>
      <c r="B53" s="96"/>
      <c r="C53" s="96"/>
      <c r="D53" s="96"/>
      <c r="E53" s="96"/>
      <c r="F53" s="96"/>
      <c r="G53" s="96"/>
      <c r="H53" s="96"/>
      <c r="I53" s="96"/>
      <c r="J53" s="96">
        <v>1</v>
      </c>
      <c r="K53" s="96" t="s">
        <v>44</v>
      </c>
      <c r="L53" s="96">
        <v>4</v>
      </c>
      <c r="M53" s="96" t="s">
        <v>25</v>
      </c>
      <c r="N53" s="590">
        <v>95</v>
      </c>
    </row>
  </sheetData>
  <sheetProtection algorithmName="SHA-512" hashValue="0CHGPe4rkt3luBnk85fFEUMNz80pAn4PFVubS/88b/C2yoByCYlxLe0rTIGRXPHMu7/dyWeH97Vgzot5E6oRcQ==" saltValue="sZOxNgb+XPQO+eXn78F3uA==" spinCount="100000" sheet="1" objects="1" scenarios="1"/>
  <sortState xmlns:xlrd2="http://schemas.microsoft.com/office/spreadsheetml/2017/richdata2" ref="A20:N27">
    <sortCondition ref="A20:A27"/>
  </sortState>
  <mergeCells count="2">
    <mergeCell ref="B2:I2"/>
    <mergeCell ref="P7:W7"/>
  </mergeCells>
  <pageMargins left="0.7" right="0.7" top="0.75" bottom="0.75" header="0.3" footer="0.3"/>
  <pageSetup scale="94"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AI82"/>
  <sheetViews>
    <sheetView zoomScale="80" zoomScaleNormal="80" zoomScalePageLayoutView="70" workbookViewId="0">
      <pane ySplit="1" topLeftCell="A2" activePane="bottomLeft" state="frozen"/>
      <selection pane="bottomLeft" activeCell="H19" sqref="H19"/>
    </sheetView>
  </sheetViews>
  <sheetFormatPr defaultColWidth="9.140625" defaultRowHeight="15"/>
  <cols>
    <col min="1" max="1" width="42.42578125" style="18" bestFit="1" customWidth="1"/>
    <col min="2" max="2" width="15.5703125" style="18" hidden="1" customWidth="1"/>
    <col min="3" max="3" width="17" style="18" customWidth="1"/>
    <col min="4" max="4" width="12" style="18" hidden="1" customWidth="1"/>
    <col min="5" max="5" width="13.7109375" style="18" bestFit="1" customWidth="1"/>
    <col min="6" max="6" width="6.28515625" style="18" bestFit="1" customWidth="1"/>
    <col min="7" max="7" width="14.7109375" style="18" bestFit="1" customWidth="1"/>
    <col min="8" max="8" width="9.140625" style="18"/>
    <col min="9" max="11" width="9.28515625" style="18" bestFit="1" customWidth="1"/>
    <col min="12" max="12" width="9.140625" style="18"/>
    <col min="13" max="13" width="42.42578125" style="22" bestFit="1" customWidth="1"/>
    <col min="14" max="14" width="15.5703125" style="22" hidden="1" customWidth="1"/>
    <col min="15" max="15" width="17" style="22" customWidth="1"/>
    <col min="16" max="16" width="13.7109375" style="22" hidden="1" customWidth="1"/>
    <col min="17" max="17" width="13.7109375" style="22" bestFit="1" customWidth="1"/>
    <col min="18" max="18" width="6.140625" style="22" bestFit="1" customWidth="1"/>
    <col min="19" max="19" width="10.85546875" style="22" bestFit="1" customWidth="1"/>
    <col min="20" max="20" width="8.85546875" style="22"/>
    <col min="21" max="24" width="9.140625" style="22" customWidth="1"/>
    <col min="25" max="25" width="42.42578125" style="22" bestFit="1" customWidth="1"/>
    <col min="26" max="26" width="15.5703125" style="22" hidden="1" customWidth="1"/>
    <col min="27" max="27" width="17" style="22" customWidth="1"/>
    <col min="28" max="28" width="13.7109375" style="22" hidden="1" customWidth="1"/>
    <col min="29" max="29" width="13.7109375" style="22" bestFit="1" customWidth="1"/>
    <col min="30" max="30" width="6.140625" style="22" bestFit="1" customWidth="1"/>
    <col min="31" max="31" width="14.7109375" style="22" bestFit="1" customWidth="1"/>
    <col min="32" max="32" width="8.85546875" style="22"/>
    <col min="33" max="35" width="9" style="22" bestFit="1" customWidth="1"/>
    <col min="36" max="36" width="43.42578125" style="18" bestFit="1" customWidth="1"/>
    <col min="37" max="37" width="13" style="18" customWidth="1"/>
    <col min="38" max="38" width="7.28515625" style="18" customWidth="1"/>
    <col min="39" max="39" width="12.28515625" style="18" customWidth="1"/>
    <col min="40" max="40" width="9.140625" style="18"/>
    <col min="41" max="43" width="9.140625" style="18" customWidth="1"/>
    <col min="44" max="16384" width="9.140625" style="18"/>
  </cols>
  <sheetData>
    <row r="1" spans="1:35" s="76" customFormat="1" ht="33.75">
      <c r="A1" s="824" t="s">
        <v>78</v>
      </c>
      <c r="B1" s="825"/>
      <c r="C1" s="825"/>
      <c r="D1" s="825"/>
      <c r="E1" s="825"/>
      <c r="F1" s="825"/>
      <c r="G1" s="825"/>
      <c r="H1" s="825"/>
      <c r="I1" s="825"/>
      <c r="J1" s="825"/>
      <c r="K1" s="826"/>
      <c r="L1" s="167"/>
      <c r="M1" s="824" t="s">
        <v>137</v>
      </c>
      <c r="N1" s="825"/>
      <c r="O1" s="825"/>
      <c r="P1" s="825"/>
      <c r="Q1" s="825"/>
      <c r="R1" s="825"/>
      <c r="S1" s="825"/>
      <c r="T1" s="825"/>
      <c r="U1" s="825"/>
      <c r="V1" s="825"/>
      <c r="W1" s="826"/>
      <c r="X1" s="162"/>
      <c r="Y1" s="824" t="s">
        <v>138</v>
      </c>
      <c r="Z1" s="825"/>
      <c r="AA1" s="825"/>
      <c r="AB1" s="825"/>
      <c r="AC1" s="825"/>
      <c r="AD1" s="825"/>
      <c r="AE1" s="825"/>
      <c r="AF1" s="825"/>
      <c r="AG1" s="825"/>
      <c r="AH1" s="825"/>
      <c r="AI1" s="826"/>
    </row>
    <row r="2" spans="1:35" s="17" customFormat="1" ht="16.5" thickBot="1">
      <c r="A2" s="51"/>
      <c r="B2" s="52"/>
      <c r="C2" s="53"/>
      <c r="D2" s="54"/>
      <c r="E2" s="54"/>
      <c r="F2" s="52"/>
      <c r="G2" s="54"/>
      <c r="H2" s="73"/>
      <c r="I2" s="73"/>
      <c r="J2" s="73"/>
      <c r="K2" s="75"/>
      <c r="L2" s="73"/>
      <c r="M2" s="51"/>
      <c r="N2" s="52"/>
      <c r="O2" s="53"/>
      <c r="P2" s="54"/>
      <c r="Q2" s="54"/>
      <c r="R2" s="52"/>
      <c r="S2" s="54"/>
      <c r="T2" s="73"/>
      <c r="U2" s="73"/>
      <c r="V2" s="73"/>
      <c r="W2" s="75"/>
      <c r="X2" s="19"/>
      <c r="Y2" s="51"/>
      <c r="Z2" s="52"/>
      <c r="AA2" s="53"/>
      <c r="AB2" s="54"/>
      <c r="AC2" s="54"/>
      <c r="AD2" s="52"/>
      <c r="AE2" s="54"/>
      <c r="AF2" s="19"/>
      <c r="AG2" s="19"/>
      <c r="AH2" s="19"/>
      <c r="AI2" s="20"/>
    </row>
    <row r="3" spans="1:35" ht="16.5" customHeight="1" thickBot="1">
      <c r="A3" s="910" t="s">
        <v>165</v>
      </c>
      <c r="B3" s="911"/>
      <c r="C3" s="911"/>
      <c r="D3" s="911"/>
      <c r="E3" s="911"/>
      <c r="F3" s="911"/>
      <c r="G3" s="911"/>
      <c r="H3" s="911"/>
      <c r="I3" s="911"/>
      <c r="J3" s="911"/>
      <c r="K3" s="912"/>
      <c r="L3" s="708"/>
      <c r="M3" s="910" t="s">
        <v>165</v>
      </c>
      <c r="N3" s="911"/>
      <c r="O3" s="911"/>
      <c r="P3" s="911"/>
      <c r="Q3" s="911"/>
      <c r="R3" s="911"/>
      <c r="S3" s="911"/>
      <c r="T3" s="911"/>
      <c r="U3" s="911"/>
      <c r="V3" s="911"/>
      <c r="W3" s="912"/>
      <c r="X3" s="544"/>
      <c r="Y3" s="910" t="s">
        <v>165</v>
      </c>
      <c r="Z3" s="911"/>
      <c r="AA3" s="911"/>
      <c r="AB3" s="911"/>
      <c r="AC3" s="911"/>
      <c r="AD3" s="911"/>
      <c r="AE3" s="911"/>
      <c r="AF3" s="911"/>
      <c r="AG3" s="911"/>
      <c r="AH3" s="911"/>
      <c r="AI3" s="912"/>
    </row>
    <row r="4" spans="1:35" s="17" customFormat="1" ht="56.25">
      <c r="A4" s="709" t="s">
        <v>147</v>
      </c>
      <c r="B4" s="710" t="s">
        <v>125</v>
      </c>
      <c r="C4" s="711" t="s">
        <v>126</v>
      </c>
      <c r="D4" s="712" t="s">
        <v>12</v>
      </c>
      <c r="E4" s="712" t="s">
        <v>127</v>
      </c>
      <c r="F4" s="710" t="s">
        <v>11</v>
      </c>
      <c r="G4" s="712" t="s">
        <v>128</v>
      </c>
      <c r="H4" s="713"/>
      <c r="I4" s="713"/>
      <c r="J4" s="713"/>
      <c r="K4" s="714"/>
      <c r="L4" s="713"/>
      <c r="M4" s="709" t="s">
        <v>147</v>
      </c>
      <c r="N4" s="710" t="s">
        <v>125</v>
      </c>
      <c r="O4" s="711" t="s">
        <v>126</v>
      </c>
      <c r="P4" s="712" t="s">
        <v>12</v>
      </c>
      <c r="Q4" s="712" t="s">
        <v>127</v>
      </c>
      <c r="R4" s="710" t="s">
        <v>11</v>
      </c>
      <c r="S4" s="712" t="s">
        <v>128</v>
      </c>
      <c r="T4" s="713"/>
      <c r="U4" s="713"/>
      <c r="V4" s="713"/>
      <c r="W4" s="714"/>
      <c r="X4" s="713"/>
      <c r="Y4" s="709" t="s">
        <v>147</v>
      </c>
      <c r="Z4" s="710" t="s">
        <v>125</v>
      </c>
      <c r="AA4" s="711" t="s">
        <v>126</v>
      </c>
      <c r="AB4" s="712" t="s">
        <v>12</v>
      </c>
      <c r="AC4" s="712" t="s">
        <v>127</v>
      </c>
      <c r="AD4" s="710" t="s">
        <v>11</v>
      </c>
      <c r="AE4" s="712" t="s">
        <v>128</v>
      </c>
      <c r="AF4" s="713"/>
      <c r="AG4" s="713"/>
      <c r="AH4" s="713"/>
      <c r="AI4" s="714"/>
    </row>
    <row r="5" spans="1:35" ht="18.75">
      <c r="A5" s="715" t="s">
        <v>761</v>
      </c>
      <c r="B5" s="545"/>
      <c r="C5" s="716"/>
      <c r="D5" s="717"/>
      <c r="E5" s="70" t="s">
        <v>153</v>
      </c>
      <c r="F5" s="718"/>
      <c r="G5" s="703"/>
      <c r="H5" s="713"/>
      <c r="I5" s="575" t="s">
        <v>115</v>
      </c>
      <c r="J5" s="575" t="s">
        <v>116</v>
      </c>
      <c r="K5" s="576" t="s">
        <v>117</v>
      </c>
      <c r="L5" s="708"/>
      <c r="M5" s="715" t="s">
        <v>761</v>
      </c>
      <c r="N5" s="545"/>
      <c r="O5" s="716"/>
      <c r="P5" s="716"/>
      <c r="Q5" s="143" t="s">
        <v>153</v>
      </c>
      <c r="R5" s="718"/>
      <c r="S5" s="703"/>
      <c r="T5" s="713"/>
      <c r="U5" s="575" t="s">
        <v>115</v>
      </c>
      <c r="V5" s="575" t="s">
        <v>116</v>
      </c>
      <c r="W5" s="576" t="s">
        <v>117</v>
      </c>
      <c r="X5" s="699"/>
      <c r="Y5" s="715" t="s">
        <v>761</v>
      </c>
      <c r="Z5" s="545"/>
      <c r="AA5" s="716"/>
      <c r="AB5" s="716"/>
      <c r="AC5" s="143" t="s">
        <v>153</v>
      </c>
      <c r="AD5" s="718"/>
      <c r="AE5" s="703"/>
      <c r="AF5" s="713"/>
      <c r="AG5" s="575" t="s">
        <v>115</v>
      </c>
      <c r="AH5" s="575" t="s">
        <v>116</v>
      </c>
      <c r="AI5" s="576" t="s">
        <v>117</v>
      </c>
    </row>
    <row r="6" spans="1:35" ht="18.75">
      <c r="A6" s="719" t="s">
        <v>20</v>
      </c>
      <c r="B6" s="720" t="str">
        <f t="shared" ref="B6:B11" si="0">VLOOKUP(A6,Macronutrients,13,FALSE)</f>
        <v>Tons</v>
      </c>
      <c r="C6" s="721">
        <f>VLOOKUP(A6,'Fertilizer Pricing'!$A$4:$N$27,14,FALSE)</f>
        <v>355</v>
      </c>
      <c r="D6" s="722">
        <f t="shared" ref="D6:D11" si="1">VLOOKUP($A6,Macronutrients,12,FALSE)</f>
        <v>2000</v>
      </c>
      <c r="E6" s="702">
        <v>100</v>
      </c>
      <c r="F6" s="700" t="str">
        <f t="shared" ref="F6:F11" si="2">VLOOKUP($A6,Macronutrients,11,FALSE)</f>
        <v>lbs</v>
      </c>
      <c r="G6" s="703">
        <f t="shared" ref="G6:G11" si="3">(E6*VLOOKUP(A6,Macronutrients,10,FALSE)/D6)*C6</f>
        <v>17.75</v>
      </c>
      <c r="H6" s="713"/>
      <c r="I6" s="723">
        <f>VLOOKUP(A6,'Fertilizer Pricing'!$A$4:$N$27,2,FALSE)*E6+VLOOKUP(A7,'Fertilizer Pricing'!$A$4:$N$27,2,FALSE)*E7+VLOOKUP(A8,'Fertilizer Pricing'!$A$4:$N$27,2,FALSE)*E8+VLOOKUP(A9,'Fertilizer Pricing'!$A$4:$N$27,2,FALSE)*E9+VLOOKUP(A10,'Fertilizer Pricing'!$A$4:$N$27,2,FALSE)*E10+VLOOKUP(A11,'Fertilizer Pricing'!$A$4:$N$27,2,FALSE)*E11+VLOOKUP(A14,'Fertilizer Pricing'!$A$31:$N$35,2,FALSE)*E14+VLOOKUP(A15,'Fertilizer Pricing'!$A$31:$N$35,2,FALSE)*E15+VLOOKUP(A16,'Fertilizer Pricing'!$A$31:$N$35,2,FALSE)*E16+VLOOKUP(A17,'Fertilizer Pricing'!$A$31:$N$35,2,FALSE)*E17</f>
        <v>13.5</v>
      </c>
      <c r="J6" s="724">
        <f>VLOOKUP(A6,'Fertilizer Pricing'!$A$4:$N$27,3,FALSE)*E6+VLOOKUP(A7,'Fertilizer Pricing'!$A$4:$N$27,3,FALSE)*E7+VLOOKUP(A8,'Fertilizer Pricing'!$A$4:$N$27,3,FALSE)*E8+VLOOKUP(A9,'Fertilizer Pricing'!$A$4:$N$27,3,FALSE)*E9+VLOOKUP(A10,'Fertilizer Pricing'!$A$4:$N$27,3,FALSE)*E10+VLOOKUP(A11,'Fertilizer Pricing'!$A$4:$N$27,3,FALSE)*E11+VLOOKUP(A14,'Fertilizer Pricing'!$A$31:$N$35,3,FALSE)*E14+VLOOKUP(A15,'Fertilizer Pricing'!$A$31:$N$35,3,FALSE)*E15+VLOOKUP(A16,'Fertilizer Pricing'!$A$31:$N$35,3,FALSE)*E16+VLOOKUP(A17,'Fertilizer Pricing'!$A$31:$N$35,3,FALSE)*E17</f>
        <v>34.5</v>
      </c>
      <c r="K6" s="725">
        <f>VLOOKUP(A6,'Fertilizer Pricing'!$A$4:$N$27,4,FALSE)*E6+VLOOKUP(A7,'Fertilizer Pricing'!$A$4:$N$27,4,FALSE)*E7+VLOOKUP(A8,'Fertilizer Pricing'!$A$4:$N$27,4,FALSE)*E8+VLOOKUP(A9,'Fertilizer Pricing'!$A$4:$N$27,4,FALSE)*E9+VLOOKUP(A10,'Fertilizer Pricing'!$A$4:$N$27,4,FALSE)*E10+VLOOKUP(A11,'Fertilizer Pricing'!$A$4:$N$27,4,FALSE)*E11+VLOOKUP(A14,'Fertilizer Pricing'!$A$31:$N$35,4,FALSE)*E14+VLOOKUP(A15,'Fertilizer Pricing'!$A$31:$N$35,4,FALSE)*E15+VLOOKUP(A16,'Fertilizer Pricing'!$A$31:$N$35,4,FALSE)*E16+VLOOKUP(A17,'Fertilizer Pricing'!$A$31:$N$35,4,FALSE)*E17</f>
        <v>62</v>
      </c>
      <c r="L6" s="726"/>
      <c r="M6" s="719" t="s">
        <v>20</v>
      </c>
      <c r="N6" s="720" t="str">
        <f t="shared" ref="N6:N11" si="4">VLOOKUP(M6,Macronutrients,13,FALSE)</f>
        <v>Tons</v>
      </c>
      <c r="O6" s="721">
        <f>VLOOKUP(M6,'Fertilizer Pricing'!$A$4:$N$27,14,FALSE)</f>
        <v>355</v>
      </c>
      <c r="P6" s="722">
        <f t="shared" ref="P6:P11" si="5">VLOOKUP($M6,Macronutrients,12,FALSE)</f>
        <v>2000</v>
      </c>
      <c r="Q6" s="702">
        <v>90</v>
      </c>
      <c r="R6" s="700" t="str">
        <f t="shared" ref="R6:R11" si="6">VLOOKUP($M6,Macronutrients,11,FALSE)</f>
        <v>lbs</v>
      </c>
      <c r="S6" s="703">
        <f t="shared" ref="S6:S11" si="7">(Q6*VLOOKUP(M6,Macronutrients,10,FALSE)/P6)*O6</f>
        <v>15.975</v>
      </c>
      <c r="T6" s="713"/>
      <c r="U6" s="723">
        <f>VLOOKUP(M6,'Fertilizer Pricing'!$A$4:$N$27,2,FALSE)*Q6+VLOOKUP(M7,'Fertilizer Pricing'!$A$4:$N$27,2,FALSE)*Q7+VLOOKUP(M8,'Fertilizer Pricing'!$A$4:$N$27,2,FALSE)*Q8+VLOOKUP(M9,'Fertilizer Pricing'!$A$4:$N$27,2,FALSE)*Q9+VLOOKUP(M10,'Fertilizer Pricing'!$A$4:$N$27,2,FALSE)*Q10+VLOOKUP(M11,'Fertilizer Pricing'!$A$4:$N$27,2,FALSE)*Q11+VLOOKUP(M14,'Fertilizer Pricing'!$A$31:$N$35,2,FALSE)*Q14+VLOOKUP(M15,'Fertilizer Pricing'!$A$31:$N$35,2,FALSE)*Q15+VLOOKUP(M16,'Fertilizer Pricing'!$A$31:$N$35,2,FALSE)*Q16+VLOOKUP(M17,'Fertilizer Pricing'!$A$31:$N$35,2,FALSE)*Q17+VLOOKUP($M20,'Fertilizer Pricing'!$A$39:$N$43,2,FALSE)*Q20</f>
        <v>14.399999999999999</v>
      </c>
      <c r="V6" s="724">
        <f>VLOOKUP(M6,'Fertilizer Pricing'!$A$4:$N$27,3,FALSE)*Q6+VLOOKUP(M7,'Fertilizer Pricing'!$A$4:$N$27,3,FALSE)*Q7+VLOOKUP(M8,'Fertilizer Pricing'!$A$4:$N$27,3,FALSE)*Q8+VLOOKUP(M9,'Fertilizer Pricing'!$A$4:$N$27,3,FALSE)*Q9+VLOOKUP(M10,'Fertilizer Pricing'!$A$4:$N$27,3,FALSE)*Q10+VLOOKUP(M11,'Fertilizer Pricing'!$A$4:$N$27,3,FALSE)*Q11+VLOOKUP(M14,'Fertilizer Pricing'!$A$31:$N$35,3,FALSE)*Q14+VLOOKUP(M15,'Fertilizer Pricing'!$A$31:$N$35,3,FALSE)*Q15+VLOOKUP(M16,'Fertilizer Pricing'!$A$31:$N$35,3,FALSE)*Q16+VLOOKUP(M17,'Fertilizer Pricing'!$A$31:$N$35,3,FALSE)*Q17+VLOOKUP($M20,'Fertilizer Pricing'!$A$39:$N$43,2,FALSE)*Q20</f>
        <v>36.800000000000004</v>
      </c>
      <c r="W6" s="725">
        <f>VLOOKUP(M6,'Fertilizer Pricing'!$A$4:$N$27,4,FALSE)*Q6+VLOOKUP(M7,'Fertilizer Pricing'!$A$4:$N$27,4,FALSE)*Q7+VLOOKUP(M8,'Fertilizer Pricing'!$A$4:$N$27,4,FALSE)*Q8+VLOOKUP(M9,'Fertilizer Pricing'!$A$4:$N$27,4,FALSE)*Q9+VLOOKUP(M10,'Fertilizer Pricing'!$A$4:$N$27,4,FALSE)*Q10+VLOOKUP(M11,'Fertilizer Pricing'!$A$4:$N$27,4,FALSE)*Q11+VLOOKUP(M14,'Fertilizer Pricing'!$A$31:$N$35,4,FALSE)*Q14+VLOOKUP(M15,'Fertilizer Pricing'!$A$31:$N$35,4,FALSE)*Q15+VLOOKUP(M16,'Fertilizer Pricing'!$A$31:$N$35,4,FALSE)*Q16+VLOOKUP(M17,'Fertilizer Pricing'!$A$31:$N$35,4,FALSE)*Q17+VLOOKUP($M20,'Fertilizer Pricing'!$A$39:$N$43,2,FALSE)*Q20</f>
        <v>55.8</v>
      </c>
      <c r="X6" s="727"/>
      <c r="Y6" s="719" t="s">
        <v>20</v>
      </c>
      <c r="Z6" s="720" t="str">
        <f t="shared" ref="Z6:Z11" si="8">VLOOKUP(Y6,Macronutrients,13,FALSE)</f>
        <v>Tons</v>
      </c>
      <c r="AA6" s="721">
        <f>VLOOKUP(Y6,'Fertilizer Pricing'!$A$4:$N$27,14,FALSE)</f>
        <v>355</v>
      </c>
      <c r="AB6" s="722">
        <f t="shared" ref="AB6:AB11" si="9">VLOOKUP($M6,Macronutrients,12,FALSE)</f>
        <v>2000</v>
      </c>
      <c r="AC6" s="702">
        <v>50</v>
      </c>
      <c r="AD6" s="700" t="str">
        <f t="shared" ref="AD6:AD11" si="10">VLOOKUP($Y6,Macronutrients,11,FALSE)</f>
        <v>lbs</v>
      </c>
      <c r="AE6" s="703">
        <f t="shared" ref="AE6:AE11" si="11">(AC6*VLOOKUP(Y6,Macronutrients,10,FALSE)/AB6)*AA6</f>
        <v>8.875</v>
      </c>
      <c r="AF6" s="713"/>
      <c r="AG6" s="724">
        <f>VLOOKUP(Y6,'Fertilizer Pricing'!$A$4:$N$27,2,FALSE)*AC6+VLOOKUP(Y7,'Fertilizer Pricing'!$A$4:$N$27,2,FALSE)*AC7+VLOOKUP(Y8,'Fertilizer Pricing'!$A$4:$N$27,2,FALSE)*AC8+VLOOKUP(Y9,'Fertilizer Pricing'!$A$4:$N$27,2,FALSE)*AC9+VLOOKUP(Y10,'Fertilizer Pricing'!$A$4:$N$27,2,FALSE)*AC10+VLOOKUP(Y11,'Fertilizer Pricing'!$A$4:$N$27,2,FALSE)*AC11+VLOOKUP(Y14,'Fertilizer Pricing'!$A$31:$N$35,2,FALSE)*AC14+VLOOKUP(Y15,'Fertilizer Pricing'!$A$31:$N$35,2,FALSE)*AC15+VLOOKUP(Y16,'Fertilizer Pricing'!$A$31:$N$35,2,FALSE)*AC16+VLOOKUP(Y17,'Fertilizer Pricing'!$A$31:$N$35,2,FALSE)*AC17+VLOOKUP($Y20,'Fertilizer Pricing'!$A$39:$N$43,2,FALSE)*AC20</f>
        <v>18</v>
      </c>
      <c r="AH6" s="724">
        <f>VLOOKUP(Y6,'Fertilizer Pricing'!$A$4:$N$27,3,FALSE)*AC6+VLOOKUP(Y7,'Fertilizer Pricing'!$A$4:$N$27,3,FALSE)*AC7+VLOOKUP(Y8,'Fertilizer Pricing'!$A$4:$N$27,3,FALSE)*AC8+VLOOKUP(Y9,'Fertilizer Pricing'!$A$4:$N$27,3,FALSE)*AC9+VLOOKUP(Y10,'Fertilizer Pricing'!$A$4:$N$27,3,FALSE)*AC10+VLOOKUP(Y11,'Fertilizer Pricing'!$A$4:$N$27,3,FALSE)*AC11+VLOOKUP(Y14,'Fertilizer Pricing'!$A$31:$N$35,3,FALSE)*AC14+VLOOKUP(Y15,'Fertilizer Pricing'!$A$31:$N$35,3,FALSE)*AC15+VLOOKUP(Y16,'Fertilizer Pricing'!$A$31:$N$35,3,FALSE)*AC16+VLOOKUP(Y17,'Fertilizer Pricing'!$A$31:$N$35,3,FALSE)*AC17+VLOOKUP($Y20,'Fertilizer Pricing'!$A$39:$N$43,2,FALSE)*AC20</f>
        <v>46</v>
      </c>
      <c r="AI6" s="725">
        <f>VLOOKUP(Y6,'Fertilizer Pricing'!$A$4:$N$27,4,FALSE)*AC6+VLOOKUP(Y7,'Fertilizer Pricing'!$A$4:$N$27,4,FALSE)*AC7+VLOOKUP(Y8,'Fertilizer Pricing'!$A$4:$N$27,4,FALSE)*AC8+VLOOKUP(Y9,'Fertilizer Pricing'!$A$4:$N$27,4,FALSE)*AC9+VLOOKUP(Y10,'Fertilizer Pricing'!$A$4:$N$27,4,FALSE)*AC10+VLOOKUP(Y11,'Fertilizer Pricing'!$A$4:$N$27,4,FALSE)*AC11+VLOOKUP(Y14,'Fertilizer Pricing'!$A$31:$N$35,4,FALSE)*AC14+VLOOKUP(Y15,'Fertilizer Pricing'!$A$31:$N$35,4,FALSE)*AC15+VLOOKUP(Y16,'Fertilizer Pricing'!$A$31:$N$35,4,FALSE)*AC16+VLOOKUP(Y17,'Fertilizer Pricing'!$A$31:$N$35,4,FALSE)*AC17+VLOOKUP($Y20,'Fertilizer Pricing'!$A$39:$N$43,2,FALSE)*AC20</f>
        <v>31</v>
      </c>
    </row>
    <row r="7" spans="1:35" ht="18.75">
      <c r="A7" s="719" t="s">
        <v>22</v>
      </c>
      <c r="B7" s="720" t="str">
        <f t="shared" si="0"/>
        <v>Tons</v>
      </c>
      <c r="C7" s="721">
        <f>VLOOKUP(A7,'Fertilizer Pricing'!$A$4:$N$27,14,FALSE)</f>
        <v>550</v>
      </c>
      <c r="D7" s="722">
        <f t="shared" si="1"/>
        <v>2000</v>
      </c>
      <c r="E7" s="702">
        <v>75</v>
      </c>
      <c r="F7" s="700" t="str">
        <f t="shared" si="2"/>
        <v>lbs</v>
      </c>
      <c r="G7" s="703">
        <f t="shared" si="3"/>
        <v>20.625</v>
      </c>
      <c r="H7" s="713"/>
      <c r="I7" s="728"/>
      <c r="J7" s="728"/>
      <c r="K7" s="729"/>
      <c r="L7" s="726"/>
      <c r="M7" s="719" t="s">
        <v>22</v>
      </c>
      <c r="N7" s="720" t="str">
        <f t="shared" si="4"/>
        <v>Tons</v>
      </c>
      <c r="O7" s="721">
        <f>VLOOKUP(M7,'Fertilizer Pricing'!$A$4:$N$27,14,FALSE)</f>
        <v>550</v>
      </c>
      <c r="P7" s="722">
        <f t="shared" si="5"/>
        <v>2000</v>
      </c>
      <c r="Q7" s="702">
        <v>80</v>
      </c>
      <c r="R7" s="700" t="str">
        <f t="shared" si="6"/>
        <v>lbs</v>
      </c>
      <c r="S7" s="703">
        <f t="shared" si="7"/>
        <v>22</v>
      </c>
      <c r="T7" s="713"/>
      <c r="U7" s="728"/>
      <c r="V7" s="728"/>
      <c r="W7" s="729"/>
      <c r="X7" s="730"/>
      <c r="Y7" s="719" t="s">
        <v>22</v>
      </c>
      <c r="Z7" s="720" t="str">
        <f t="shared" si="8"/>
        <v>Tons</v>
      </c>
      <c r="AA7" s="721">
        <f>VLOOKUP(Y7,'Fertilizer Pricing'!$A$4:$N$27,14,FALSE)</f>
        <v>550</v>
      </c>
      <c r="AB7" s="722">
        <f t="shared" si="9"/>
        <v>2000</v>
      </c>
      <c r="AC7" s="702">
        <v>100</v>
      </c>
      <c r="AD7" s="700" t="str">
        <f t="shared" si="10"/>
        <v>lbs</v>
      </c>
      <c r="AE7" s="703">
        <f t="shared" si="11"/>
        <v>27.5</v>
      </c>
      <c r="AF7" s="713"/>
      <c r="AG7" s="728"/>
      <c r="AH7" s="728"/>
      <c r="AI7" s="729"/>
    </row>
    <row r="8" spans="1:35" ht="18.75">
      <c r="A8" s="719" t="s">
        <v>13</v>
      </c>
      <c r="B8" s="720" t="str">
        <f t="shared" si="0"/>
        <v>None</v>
      </c>
      <c r="C8" s="721">
        <f>VLOOKUP(A8,'Fertilizer Pricing'!$A$4:$N$27,14,FALSE)</f>
        <v>0</v>
      </c>
      <c r="D8" s="722">
        <f t="shared" si="1"/>
        <v>1</v>
      </c>
      <c r="E8" s="702">
        <v>0</v>
      </c>
      <c r="F8" s="700">
        <f t="shared" si="2"/>
        <v>0</v>
      </c>
      <c r="G8" s="703">
        <f t="shared" si="3"/>
        <v>0</v>
      </c>
      <c r="H8" s="713"/>
      <c r="I8" s="575" t="s">
        <v>118</v>
      </c>
      <c r="J8" s="575" t="s">
        <v>119</v>
      </c>
      <c r="K8" s="576" t="s">
        <v>120</v>
      </c>
      <c r="L8" s="726"/>
      <c r="M8" s="719" t="s">
        <v>13</v>
      </c>
      <c r="N8" s="720" t="str">
        <f t="shared" si="4"/>
        <v>None</v>
      </c>
      <c r="O8" s="721">
        <f>VLOOKUP(M8,'Fertilizer Pricing'!$A$4:$N$27,14,FALSE)</f>
        <v>0</v>
      </c>
      <c r="P8" s="722">
        <f t="shared" si="5"/>
        <v>1</v>
      </c>
      <c r="Q8" s="702">
        <v>0</v>
      </c>
      <c r="R8" s="700">
        <f t="shared" si="6"/>
        <v>0</v>
      </c>
      <c r="S8" s="703">
        <f t="shared" si="7"/>
        <v>0</v>
      </c>
      <c r="T8" s="713"/>
      <c r="U8" s="575" t="s">
        <v>118</v>
      </c>
      <c r="V8" s="575" t="s">
        <v>119</v>
      </c>
      <c r="W8" s="576" t="s">
        <v>120</v>
      </c>
      <c r="X8" s="26"/>
      <c r="Y8" s="719" t="s">
        <v>13</v>
      </c>
      <c r="Z8" s="720" t="str">
        <f t="shared" si="8"/>
        <v>None</v>
      </c>
      <c r="AA8" s="721">
        <f>VLOOKUP(Y8,'Fertilizer Pricing'!$A$4:$N$27,14,FALSE)</f>
        <v>0</v>
      </c>
      <c r="AB8" s="722">
        <f t="shared" si="9"/>
        <v>1</v>
      </c>
      <c r="AC8" s="702">
        <v>0</v>
      </c>
      <c r="AD8" s="700">
        <f t="shared" si="10"/>
        <v>0</v>
      </c>
      <c r="AE8" s="703">
        <f t="shared" si="11"/>
        <v>0</v>
      </c>
      <c r="AF8" s="713"/>
      <c r="AG8" s="575" t="s">
        <v>118</v>
      </c>
      <c r="AH8" s="575" t="s">
        <v>119</v>
      </c>
      <c r="AI8" s="576" t="s">
        <v>120</v>
      </c>
    </row>
    <row r="9" spans="1:35" ht="18.75">
      <c r="A9" s="719" t="s">
        <v>13</v>
      </c>
      <c r="B9" s="720" t="str">
        <f t="shared" si="0"/>
        <v>None</v>
      </c>
      <c r="C9" s="721">
        <f>VLOOKUP(A9,'Fertilizer Pricing'!$A$4:$N$27,14,FALSE)</f>
        <v>0</v>
      </c>
      <c r="D9" s="722">
        <f t="shared" si="1"/>
        <v>1</v>
      </c>
      <c r="E9" s="702">
        <v>0</v>
      </c>
      <c r="F9" s="700">
        <f t="shared" si="2"/>
        <v>0</v>
      </c>
      <c r="G9" s="703">
        <f t="shared" si="3"/>
        <v>0</v>
      </c>
      <c r="H9" s="713"/>
      <c r="I9" s="724">
        <f>VLOOKUP($A6,'Fertilizer Pricing'!$A$4:$N$27,5,FALSE)*E6+VLOOKUP($A7,'Fertilizer Pricing'!$A$4:$N$27,5,FALSE)*E7+VLOOKUP($A8,'Fertilizer Pricing'!$A$4:$N$27,5,FALSE)*E8+VLOOKUP($A9,'Fertilizer Pricing'!$A$4:$N$27,5,FALSE)*E9+VLOOKUP($A10,'Fertilizer Pricing'!$A$4:$N$27,5,FALSE)*E10+VLOOKUP($A11,'Fertilizer Pricing'!$A$4:$N$27,5,FALSE)*E11+VLOOKUP($A14,'Fertilizer Pricing'!$A$31:$N$35,5,FALSE)*E14+VLOOKUP(A15,'Fertilizer Pricing'!$A$31:$N$35,5,FALSE)*E15+VLOOKUP($A16,'Fertilizer Pricing'!$A$31:$N$35,5,FALSE)*E16+VLOOKUP($A17,'Fertilizer Pricing'!$A$31:$N$35,5,FALSE)*E17</f>
        <v>0</v>
      </c>
      <c r="J9" s="724">
        <f>VLOOKUP($A6,'Fertilizer Pricing'!$A$4:$N$27,7,FALSE)*$E$6+VLOOKUP($A7,'Fertilizer Pricing'!$A$4:$N$27,7,FALSE)*$E$7+VLOOKUP($A8,'Fertilizer Pricing'!$A$4:$N$27,7,FALSE)*$E$8+VLOOKUP($A9,'Fertilizer Pricing'!$A$4:$N$27,7,FALSE)*$E$9+VLOOKUP($A10,'Fertilizer Pricing'!$A$4:$N$27,7,FALSE)*$E$10+VLOOKUP($A11,'Fertilizer Pricing'!$A$4:$N$27,7,FALSE)*$E$11+VLOOKUP($A14,'Fertilizer Pricing'!$A$31:$N$35,7,FALSE)*$E$14+VLOOKUP($A15,'Fertilizer Pricing'!$A$31:$N$35,7,FALSE)*E15+VLOOKUP($A16,'Fertilizer Pricing'!$A$31:$N$35,7,FALSE)*$E$16+VLOOKUP($A17,'Fertilizer Pricing'!$A$31:$N$35,7,FALSE)*$E$17+VLOOKUP($A20,'Fertilizer Pricing'!$A$39:$N$43,7,FALSE)*E20</f>
        <v>0</v>
      </c>
      <c r="K9" s="725">
        <f>VLOOKUP($A6,'Fertilizer Pricing'!$A$4:$N$27,6,FALSE)*$E$6+VLOOKUP($A7,'Fertilizer Pricing'!$A$4:$N$27,6,FALSE)*$E$7+VLOOKUP($A8,'Fertilizer Pricing'!$A$4:$N$27,6,FALSE)*$E$8+VLOOKUP($A9,'Fertilizer Pricing'!$A$4:$N$27,6,FALSE)*$E$9+VLOOKUP($A10,'Fertilizer Pricing'!$A$4:$N$27,6,FALSE)*$E$10+VLOOKUP($A11,'Fertilizer Pricing'!$A$4:$N$27,6,FALSE)*$E$11+VLOOKUP($A14,'Fertilizer Pricing'!$A$31:$N$35,6,FALSE)*$E$14+VLOOKUP($A15,'Fertilizer Pricing'!$A$31:$N$35,6,FALSE)*$E$15+VLOOKUP($A16,'Fertilizer Pricing'!$A$31:$N$35,6,FALSE)*$E$16+VLOOKUP(A$17,'Fertilizer Pricing'!$A$31:$N$35,6,FALSE)*$E$17+VLOOKUP($A20,'Fertilizer Pricing'!$A$39:$N$43,6,FALSE)*E20</f>
        <v>0</v>
      </c>
      <c r="L9" s="726"/>
      <c r="M9" s="719" t="s">
        <v>13</v>
      </c>
      <c r="N9" s="720" t="str">
        <f t="shared" si="4"/>
        <v>None</v>
      </c>
      <c r="O9" s="721">
        <f>VLOOKUP(M9,'Fertilizer Pricing'!$A$4:$N$27,14,FALSE)</f>
        <v>0</v>
      </c>
      <c r="P9" s="722">
        <f t="shared" si="5"/>
        <v>1</v>
      </c>
      <c r="Q9" s="702">
        <v>0</v>
      </c>
      <c r="R9" s="700">
        <f t="shared" si="6"/>
        <v>0</v>
      </c>
      <c r="S9" s="703">
        <f t="shared" si="7"/>
        <v>0</v>
      </c>
      <c r="T9" s="713"/>
      <c r="U9" s="724">
        <f>VLOOKUP($M6,'Fertilizer Pricing'!$A$4:$N$27,5,FALSE)*Q6+VLOOKUP($M7,'Fertilizer Pricing'!$A$4:$N$27,5,FALSE)*Q7+VLOOKUP($M8,'Fertilizer Pricing'!$A$4:$N$27,5,FALSE)*Q8+VLOOKUP($M9,'Fertilizer Pricing'!$A$4:$N$27,5,FALSE)*Q9+VLOOKUP($M10,'Fertilizer Pricing'!$A$4:$N$27,5,FALSE)*Q10+VLOOKUP($M11,'Fertilizer Pricing'!$A$4:$N$27,5,FALSE)*Q11+VLOOKUP($M14,'Fertilizer Pricing'!$A$31:$N$35,5,FALSE)*Q14+VLOOKUP(M15,'Fertilizer Pricing'!$A$31:$N$35,5,FALSE)*Q15+VLOOKUP($M16,'Fertilizer Pricing'!$A$31:$N$35,5,FALSE)*Q16+VLOOKUP($M17,'Fertilizer Pricing'!$A$31:$N$35,5,FALSE)*Q17+VLOOKUP($M20,'Fertilizer Pricing'!$A$39:$N$43,2,FALSE)*Q20</f>
        <v>0</v>
      </c>
      <c r="V9" s="724">
        <f>VLOOKUP($M6,'Fertilizer Pricing'!$A$4:$N$27,7,FALSE)*$Q$6+VLOOKUP($M7,'Fertilizer Pricing'!$A$4:$N$27,7,FALSE)*$Q$7+VLOOKUP($M8,'Fertilizer Pricing'!$A$4:$N$27,7,FALSE)*$Q$8+VLOOKUP($M9,'Fertilizer Pricing'!$A$4:$N$27,7,FALSE)*$Q$9+VLOOKUP($M10,'Fertilizer Pricing'!$A$4:$N$27,7,FALSE)*$Q$10+VLOOKUP($M11,'Fertilizer Pricing'!$A$4:$N$27,7,FALSE)*$Q$11+VLOOKUP($M14,'Fertilizer Pricing'!$A$31:$N$35,7,FALSE)*$Q$14+VLOOKUP($M15,'Fertilizer Pricing'!$A$31:$N$35,7,FALSE)*Q15+VLOOKUP($M16,'Fertilizer Pricing'!$A$31:$N$35,7,FALSE)*$Q$16+VLOOKUP($M17,'Fertilizer Pricing'!$A$31:$N$35,7,FALSE)*$Q$17+VLOOKUP($M20,'Fertilizer Pricing'!$A$39:$N$43,7,FALSE)*Q20</f>
        <v>0</v>
      </c>
      <c r="W9" s="725">
        <f>VLOOKUP($M6,'Fertilizer Pricing'!$A$4:$N$27,6,FALSE)*$Q$6+VLOOKUP($M7,'Fertilizer Pricing'!$A$4:$N$27,6,FALSE)*$Q$7+VLOOKUP($M8,'Fertilizer Pricing'!$A$4:$N$27,6,FALSE)*$Q$8+VLOOKUP($M9,'Fertilizer Pricing'!$A$4:$N$27,6,FALSE)*$Q$9+VLOOKUP($M10,'Fertilizer Pricing'!$A$4:$N$27,6,FALSE)*$Q$10+VLOOKUP($M11,'Fertilizer Pricing'!$A$4:$N$27,6,FALSE)*$Q$11+VLOOKUP($M14,'Fertilizer Pricing'!$A$31:$N$35,6,FALSE)*$Q$14+VLOOKUP($M15,'Fertilizer Pricing'!$A$31:$N$35,6,FALSE)*$Q$15+VLOOKUP($M16,'Fertilizer Pricing'!$A$31:$N$35,6,FALSE)*$Q$16+VLOOKUP(M$17,'Fertilizer Pricing'!$A$31:$N$35,6,FALSE)*$Q$17+VLOOKUP($M20,'Fertilizer Pricing'!$A$39:$N$43,6,FALSE)*Q20</f>
        <v>0</v>
      </c>
      <c r="X9" s="727"/>
      <c r="Y9" s="719" t="s">
        <v>13</v>
      </c>
      <c r="Z9" s="720" t="str">
        <f t="shared" si="8"/>
        <v>None</v>
      </c>
      <c r="AA9" s="721">
        <f>VLOOKUP(Y9,'Fertilizer Pricing'!$A$4:$N$27,14,FALSE)</f>
        <v>0</v>
      </c>
      <c r="AB9" s="722">
        <f t="shared" si="9"/>
        <v>1</v>
      </c>
      <c r="AC9" s="702">
        <v>0</v>
      </c>
      <c r="AD9" s="700">
        <f t="shared" si="10"/>
        <v>0</v>
      </c>
      <c r="AE9" s="703">
        <f t="shared" si="11"/>
        <v>0</v>
      </c>
      <c r="AF9" s="713"/>
      <c r="AG9" s="724">
        <f>VLOOKUP($Y6,'Fertilizer Pricing'!$A$4:$N$27,5,FALSE)*AC6+VLOOKUP($Y7,'Fertilizer Pricing'!$A$4:$N$27,5,FALSE)*AC7+VLOOKUP($Y8,'Fertilizer Pricing'!$A$4:$N$27,5,FALSE)*AC8+VLOOKUP($Y9,'Fertilizer Pricing'!$A$4:$N$27,5,FALSE)*AC9+VLOOKUP($Y10,'Fertilizer Pricing'!$A$4:$N$27,5,FALSE)*AC10+VLOOKUP($Y11,'Fertilizer Pricing'!$A$4:$N$27,5,FALSE)*AC11+VLOOKUP($Y14,'Fertilizer Pricing'!$A$31:$N$35,5,FALSE)*AC14+VLOOKUP(Y15,'Fertilizer Pricing'!$A$31:$N$35,5,FALSE)*AC15+VLOOKUP($Y16,'Fertilizer Pricing'!$A$31:$N$35,5,FALSE)*AC16+VLOOKUP($Y17,'Fertilizer Pricing'!$A$31:$N$35,5,FALSE)*AC17+VLOOKUP($Y20,'Fertilizer Pricing'!$A$39:$N$43,2,FALSE)*AC20</f>
        <v>0</v>
      </c>
      <c r="AH9" s="724">
        <f>VLOOKUP($Y6,'Fertilizer Pricing'!$A$4:$N$27,7,FALSE)*$AC$6+VLOOKUP($Y7,'Fertilizer Pricing'!$A$4:$N$27,7,FALSE)*$AC$7+VLOOKUP($Y8,'Fertilizer Pricing'!$A$4:$N$27,7,FALSE)*$AC$8+VLOOKUP($Y9,'Fertilizer Pricing'!$A$4:$N$27,7,FALSE)*$AC$9+VLOOKUP($Y10,'Fertilizer Pricing'!$A$4:$N$27,7,FALSE)*$AC$10+VLOOKUP($Y11,'Fertilizer Pricing'!$A$4:$N$27,7,FALSE)*$AC$11+VLOOKUP($Y14,'Fertilizer Pricing'!$A$31:$N$35,7,FALSE)*$AC$14+VLOOKUP($Y15,'Fertilizer Pricing'!$A$31:$N$35,7,FALSE)*AC15+VLOOKUP($Y16,'Fertilizer Pricing'!$A$31:$N$35,7,FALSE)*$AC$16+VLOOKUP($Y17,'Fertilizer Pricing'!$A$31:$N$35,7,FALSE)*$AC$17+VLOOKUP($Y20,'Fertilizer Pricing'!$A$39:$N$43,7,FALSE)*AC20</f>
        <v>0</v>
      </c>
      <c r="AI9" s="725">
        <f>VLOOKUP($Y6,'Fertilizer Pricing'!$A$4:$N$27,6,FALSE)*$AC$6+VLOOKUP($Y7,'Fertilizer Pricing'!$A$4:$N$27,6,FALSE)*$AC$7+VLOOKUP($Y8,'Fertilizer Pricing'!$A$4:$N$27,6,FALSE)*$AC$8+VLOOKUP($Y9,'Fertilizer Pricing'!$A$4:$N$27,6,FALSE)*$AC$9+VLOOKUP($Y10,'Fertilizer Pricing'!$A$4:$N$27,6,FALSE)*$AC$10+VLOOKUP($Y11,'Fertilizer Pricing'!$A$4:$N$27,6,FALSE)*$AC$11+VLOOKUP($Y14,'Fertilizer Pricing'!$A$31:$N$35,6,FALSE)*$AC$14+VLOOKUP($Y15,'Fertilizer Pricing'!$A$31:$N$35,6,FALSE)*$AC$15+VLOOKUP($Y16,'Fertilizer Pricing'!$A$31:$N$35,6,FALSE)*$AC$16+VLOOKUP(Y$17,'Fertilizer Pricing'!$A$31:$N$35,6,FALSE)*$AC$17+VLOOKUP($Y20,'Fertilizer Pricing'!$A$39:$N$43,6,FALSE)*AC20</f>
        <v>0</v>
      </c>
    </row>
    <row r="10" spans="1:35" ht="18.75">
      <c r="A10" s="719" t="s">
        <v>13</v>
      </c>
      <c r="B10" s="720" t="str">
        <f t="shared" si="0"/>
        <v>None</v>
      </c>
      <c r="C10" s="721">
        <f>VLOOKUP(A10,'Fertilizer Pricing'!$A$4:$N$27,14,FALSE)</f>
        <v>0</v>
      </c>
      <c r="D10" s="722">
        <f t="shared" si="1"/>
        <v>1</v>
      </c>
      <c r="E10" s="702">
        <v>0</v>
      </c>
      <c r="F10" s="700">
        <f t="shared" si="2"/>
        <v>0</v>
      </c>
      <c r="G10" s="703">
        <f t="shared" si="3"/>
        <v>0</v>
      </c>
      <c r="H10" s="713"/>
      <c r="I10" s="728"/>
      <c r="J10" s="728"/>
      <c r="K10" s="729"/>
      <c r="L10" s="726"/>
      <c r="M10" s="719" t="s">
        <v>13</v>
      </c>
      <c r="N10" s="720" t="str">
        <f t="shared" si="4"/>
        <v>None</v>
      </c>
      <c r="O10" s="721">
        <f>VLOOKUP(M10,'Fertilizer Pricing'!$A$4:$N$27,14,FALSE)</f>
        <v>0</v>
      </c>
      <c r="P10" s="722">
        <f t="shared" si="5"/>
        <v>1</v>
      </c>
      <c r="Q10" s="702">
        <v>0</v>
      </c>
      <c r="R10" s="700">
        <f t="shared" si="6"/>
        <v>0</v>
      </c>
      <c r="S10" s="703">
        <f t="shared" si="7"/>
        <v>0</v>
      </c>
      <c r="T10" s="713"/>
      <c r="U10" s="728"/>
      <c r="V10" s="728"/>
      <c r="W10" s="729"/>
      <c r="X10" s="730"/>
      <c r="Y10" s="719" t="s">
        <v>13</v>
      </c>
      <c r="Z10" s="720" t="str">
        <f t="shared" si="8"/>
        <v>None</v>
      </c>
      <c r="AA10" s="721">
        <f>VLOOKUP(Y10,'Fertilizer Pricing'!$A$4:$N$27,14,FALSE)</f>
        <v>0</v>
      </c>
      <c r="AB10" s="722">
        <f t="shared" si="9"/>
        <v>1</v>
      </c>
      <c r="AC10" s="702">
        <v>0</v>
      </c>
      <c r="AD10" s="700">
        <f t="shared" si="10"/>
        <v>0</v>
      </c>
      <c r="AE10" s="703">
        <f t="shared" si="11"/>
        <v>0</v>
      </c>
      <c r="AF10" s="713"/>
      <c r="AG10" s="728"/>
      <c r="AH10" s="728"/>
      <c r="AI10" s="729"/>
    </row>
    <row r="11" spans="1:35" ht="18.75">
      <c r="A11" s="719" t="s">
        <v>13</v>
      </c>
      <c r="B11" s="720" t="str">
        <f t="shared" si="0"/>
        <v>None</v>
      </c>
      <c r="C11" s="721">
        <f>VLOOKUP(A11,'Fertilizer Pricing'!$A$4:$N$27,14,FALSE)</f>
        <v>0</v>
      </c>
      <c r="D11" s="722">
        <f t="shared" si="1"/>
        <v>1</v>
      </c>
      <c r="E11" s="702">
        <v>0</v>
      </c>
      <c r="F11" s="700">
        <f t="shared" si="2"/>
        <v>0</v>
      </c>
      <c r="G11" s="703">
        <f t="shared" si="3"/>
        <v>0</v>
      </c>
      <c r="H11" s="713"/>
      <c r="I11" s="575" t="s">
        <v>121</v>
      </c>
      <c r="J11" s="575" t="s">
        <v>122</v>
      </c>
      <c r="K11" s="576" t="s">
        <v>123</v>
      </c>
      <c r="L11" s="726"/>
      <c r="M11" s="719" t="s">
        <v>13</v>
      </c>
      <c r="N11" s="720" t="str">
        <f t="shared" si="4"/>
        <v>None</v>
      </c>
      <c r="O11" s="721">
        <f>VLOOKUP(M11,'Fertilizer Pricing'!$A$4:$N$27,14,FALSE)</f>
        <v>0</v>
      </c>
      <c r="P11" s="722">
        <f t="shared" si="5"/>
        <v>1</v>
      </c>
      <c r="Q11" s="702">
        <v>0</v>
      </c>
      <c r="R11" s="700">
        <f t="shared" si="6"/>
        <v>0</v>
      </c>
      <c r="S11" s="703">
        <f t="shared" si="7"/>
        <v>0</v>
      </c>
      <c r="T11" s="713"/>
      <c r="U11" s="575" t="s">
        <v>121</v>
      </c>
      <c r="V11" s="575" t="s">
        <v>122</v>
      </c>
      <c r="W11" s="576" t="s">
        <v>123</v>
      </c>
      <c r="X11" s="26"/>
      <c r="Y11" s="719" t="s">
        <v>13</v>
      </c>
      <c r="Z11" s="720" t="str">
        <f t="shared" si="8"/>
        <v>None</v>
      </c>
      <c r="AA11" s="721">
        <f>VLOOKUP(Y11,'Fertilizer Pricing'!$A$4:$N$27,14,FALSE)</f>
        <v>0</v>
      </c>
      <c r="AB11" s="722">
        <f t="shared" si="9"/>
        <v>1</v>
      </c>
      <c r="AC11" s="702">
        <v>0</v>
      </c>
      <c r="AD11" s="700">
        <f t="shared" si="10"/>
        <v>0</v>
      </c>
      <c r="AE11" s="703">
        <f t="shared" si="11"/>
        <v>0</v>
      </c>
      <c r="AF11" s="713"/>
      <c r="AG11" s="575" t="s">
        <v>121</v>
      </c>
      <c r="AH11" s="575" t="s">
        <v>122</v>
      </c>
      <c r="AI11" s="576" t="s">
        <v>123</v>
      </c>
    </row>
    <row r="12" spans="1:35" ht="18.75">
      <c r="A12" s="731"/>
      <c r="B12" s="703"/>
      <c r="C12" s="721"/>
      <c r="D12" s="700"/>
      <c r="E12" s="732"/>
      <c r="F12" s="700"/>
      <c r="G12" s="703"/>
      <c r="H12" s="713"/>
      <c r="I12" s="733">
        <f>VLOOKUP($A$15,'Fertilizer Pricing'!$A$31:$N$35,8,FALSE)*$E$15+VLOOKUP($A$16,'Fertilizer Pricing'!$A$31:$N$35,8,FALSE)*$E$16+VLOOKUP($A$17,'Fertilizer Pricing'!$A$31:$N$35,8,FALSE)*$E$17+VLOOKUP($A$14,'Fertilizer Pricing'!$A$31:$N$35,8,FALSE)*$E$14+VLOOKUP($A20,'Fertilizer Pricing'!$A$39:$N$43,2,FALSE)*E20</f>
        <v>0</v>
      </c>
      <c r="J12" s="733">
        <f>VLOOKUP($A$15,'Fertilizer Pricing'!$A$31:$N$35,9,FALSE)*$E$15+VLOOKUP($A$16,'Fertilizer Pricing'!$A$31:$N$35,9,FALSE)*$E$16+VLOOKUP($A$17,'Fertilizer Pricing'!$A$31:$N$35,9,FALSE)*$E$17+VLOOKUP($A$14,'Fertilizer Pricing'!$A$31:$N$35,9,FALSE)*$E$14+VLOOKUP($A20,'Fertilizer Pricing'!$A$39:$N$43,2,FALSE)*E20</f>
        <v>0</v>
      </c>
      <c r="K12" s="734">
        <v>0</v>
      </c>
      <c r="L12" s="726"/>
      <c r="M12" s="731"/>
      <c r="N12" s="720"/>
      <c r="O12" s="721"/>
      <c r="P12" s="722"/>
      <c r="Q12" s="735"/>
      <c r="R12" s="700"/>
      <c r="S12" s="703"/>
      <c r="T12" s="713"/>
      <c r="U12" s="733">
        <f>VLOOKUP($M15,'Fertilizer Pricing'!$A$31:$N$35,8,FALSE)*$Q15+VLOOKUP($M16,'Fertilizer Pricing'!$A$31:$N$35,8,FALSE)*$Q16+VLOOKUP($M17,'Fertilizer Pricing'!$A$31:$N$35,8,FALSE)*$Q17+VLOOKUP($M14,'Fertilizer Pricing'!$A$31:$N$35,8,FALSE)*$Q14+VLOOKUP($M20,'Fertilizer Pricing'!$A$39:$N$43,2,FALSE)*Q20</f>
        <v>0</v>
      </c>
      <c r="V12" s="733">
        <f>VLOOKUP($M15,'Fertilizer Pricing'!$A$31:$N$35,9,FALSE)*$Q15+VLOOKUP($M16,'Fertilizer Pricing'!$A$31:$N$35,9,FALSE)*$Q16+VLOOKUP($M17,'Fertilizer Pricing'!$A$31:$N$35,9,FALSE)*$Q17+VLOOKUP($M14,'Fertilizer Pricing'!$A$31:$N$35,9,FALSE)*$Q14+VLOOKUP($M20,'Fertilizer Pricing'!$A$39:$N$43,2,FALSE)*Q20</f>
        <v>0</v>
      </c>
      <c r="W12" s="734">
        <v>0</v>
      </c>
      <c r="X12" s="118"/>
      <c r="Y12" s="731"/>
      <c r="Z12" s="720"/>
      <c r="AA12" s="721"/>
      <c r="AB12" s="722"/>
      <c r="AC12" s="735"/>
      <c r="AD12" s="700"/>
      <c r="AE12" s="703"/>
      <c r="AF12" s="713"/>
      <c r="AG12" s="733">
        <f>VLOOKUP($Y15,'Fertilizer Pricing'!$A$31:$N$35,8,FALSE)*$AC15+VLOOKUP($Y16,'Fertilizer Pricing'!$A$31:$N$35,8,FALSE)*$AC16+VLOOKUP($Y17,'Fertilizer Pricing'!$A$31:$N$35,8,FALSE)*$AC17+VLOOKUP($Y14,'Fertilizer Pricing'!$A$31:$N$35,8,FALSE)*$AC14+VLOOKUP($Y20,'Fertilizer Pricing'!$A$39:$N$43,2,FALSE)*AC20</f>
        <v>0</v>
      </c>
      <c r="AH12" s="733">
        <f>VLOOKUP($Y15,'Fertilizer Pricing'!$A$31:$N$35,9,FALSE)*$AC15+VLOOKUP($Y16,'Fertilizer Pricing'!$A$31:$N$35,9,FALSE)*$AC16+VLOOKUP($Y17,'Fertilizer Pricing'!$A$31:$N$35,9,FALSE)*$AC17+VLOOKUP($Y14,'Fertilizer Pricing'!$A$31:$N$35,9,FALSE)*$AC14+VLOOKUP($Y20,'Fertilizer Pricing'!$A$39:$N$43,2,FALSE)*AC20</f>
        <v>0</v>
      </c>
      <c r="AI12" s="734">
        <v>0</v>
      </c>
    </row>
    <row r="13" spans="1:35" ht="18.75">
      <c r="A13" s="715" t="s">
        <v>762</v>
      </c>
      <c r="B13" s="28"/>
      <c r="C13" s="721"/>
      <c r="D13" s="28"/>
      <c r="E13" s="735"/>
      <c r="F13" s="545"/>
      <c r="G13" s="703"/>
      <c r="H13" s="713"/>
      <c r="I13" s="713"/>
      <c r="J13" s="713"/>
      <c r="K13" s="714"/>
      <c r="L13" s="726"/>
      <c r="M13" s="715" t="s">
        <v>760</v>
      </c>
      <c r="N13" s="28"/>
      <c r="O13" s="721"/>
      <c r="P13" s="28"/>
      <c r="Q13" s="735"/>
      <c r="R13" s="545"/>
      <c r="S13" s="703"/>
      <c r="T13" s="713"/>
      <c r="U13" s="713"/>
      <c r="V13" s="713"/>
      <c r="W13" s="714"/>
      <c r="X13" s="736"/>
      <c r="Y13" s="715" t="s">
        <v>760</v>
      </c>
      <c r="Z13" s="28"/>
      <c r="AA13" s="721"/>
      <c r="AB13" s="28"/>
      <c r="AC13" s="735"/>
      <c r="AD13" s="545"/>
      <c r="AE13" s="703"/>
      <c r="AF13" s="713"/>
      <c r="AG13" s="713"/>
      <c r="AH13" s="713"/>
      <c r="AI13" s="714"/>
    </row>
    <row r="14" spans="1:35" ht="15.6" customHeight="1">
      <c r="A14" s="719" t="s">
        <v>29</v>
      </c>
      <c r="B14" s="720" t="str">
        <f>VLOOKUP($A14,Micronutrients,13,FALSE)</f>
        <v>Pound</v>
      </c>
      <c r="C14" s="721">
        <f>VLOOKUP($A14,Micronutrients,14,FALSE)</f>
        <v>1.08</v>
      </c>
      <c r="D14" s="722">
        <f>VLOOKUP($A14,Micronutrients,12,FALSE)</f>
        <v>1</v>
      </c>
      <c r="E14" s="702">
        <v>0</v>
      </c>
      <c r="F14" s="700" t="str">
        <f>VLOOKUP($A14,Micronutrients,11,FALSE)</f>
        <v>lbs</v>
      </c>
      <c r="G14" s="703">
        <f>(E14*VLOOKUP(A14,Micronutrients,10,FALSE)/D14)*C14</f>
        <v>0</v>
      </c>
      <c r="H14" s="713"/>
      <c r="I14" s="916" t="s">
        <v>759</v>
      </c>
      <c r="J14" s="916"/>
      <c r="K14" s="917"/>
      <c r="L14" s="726"/>
      <c r="M14" s="719" t="s">
        <v>13</v>
      </c>
      <c r="N14" s="720" t="str">
        <f>VLOOKUP($M14,Micronutrients,13,FALSE)</f>
        <v>None</v>
      </c>
      <c r="O14" s="721">
        <f>VLOOKUP($M14,Micronutrients,14,FALSE)</f>
        <v>0</v>
      </c>
      <c r="P14" s="722">
        <f>VLOOKUP(M14,Micronutrients,12,FALSE)</f>
        <v>1</v>
      </c>
      <c r="Q14" s="702">
        <v>0</v>
      </c>
      <c r="R14" s="700">
        <f>VLOOKUP(M14,Micronutrients,11,FALSE)</f>
        <v>0</v>
      </c>
      <c r="S14" s="703">
        <f>(Q14*VLOOKUP(M14,Micronutrients,10,FALSE)/P14)*O14</f>
        <v>0</v>
      </c>
      <c r="T14" s="713"/>
      <c r="U14" s="916" t="s">
        <v>759</v>
      </c>
      <c r="V14" s="916"/>
      <c r="W14" s="917"/>
      <c r="X14" s="736"/>
      <c r="Y14" s="719" t="s">
        <v>13</v>
      </c>
      <c r="Z14" s="720" t="str">
        <f>VLOOKUP($M14,Micronutrients,13,FALSE)</f>
        <v>None</v>
      </c>
      <c r="AA14" s="721">
        <f>VLOOKUP($M14,Micronutrients,14,FALSE)</f>
        <v>0</v>
      </c>
      <c r="AB14" s="722">
        <f>VLOOKUP(Y14,Micronutrients,12,FALSE)</f>
        <v>1</v>
      </c>
      <c r="AC14" s="702">
        <v>0</v>
      </c>
      <c r="AD14" s="700">
        <f>VLOOKUP(Y14,Micronutrients,11,FALSE)</f>
        <v>0</v>
      </c>
      <c r="AE14" s="703">
        <f>(AC14*VLOOKUP(Y14,Micronutrients,10,FALSE)/AB14)*AA14</f>
        <v>0</v>
      </c>
      <c r="AF14" s="713"/>
      <c r="AG14" s="713"/>
      <c r="AH14" s="713"/>
      <c r="AI14" s="714"/>
    </row>
    <row r="15" spans="1:35" ht="18.75">
      <c r="A15" s="719" t="s">
        <v>13</v>
      </c>
      <c r="B15" s="720" t="str">
        <f>VLOOKUP($A15,Micronutrients,13,FALSE)</f>
        <v>None</v>
      </c>
      <c r="C15" s="721">
        <f>VLOOKUP($A15,Micronutrients,14,FALSE)</f>
        <v>0</v>
      </c>
      <c r="D15" s="722">
        <f>VLOOKUP($A15,Micronutrients,12,FALSE)</f>
        <v>1</v>
      </c>
      <c r="E15" s="702">
        <v>0</v>
      </c>
      <c r="F15" s="700">
        <f>VLOOKUP($A15,Micronutrients,11,FALSE)</f>
        <v>0</v>
      </c>
      <c r="G15" s="703">
        <f>(E15*VLOOKUP(A15,Micronutrients,10,FALSE)/D15)*C15</f>
        <v>0</v>
      </c>
      <c r="H15" s="713"/>
      <c r="I15" s="916"/>
      <c r="J15" s="916"/>
      <c r="K15" s="917"/>
      <c r="L15" s="726"/>
      <c r="M15" s="719" t="s">
        <v>13</v>
      </c>
      <c r="N15" s="720" t="str">
        <f>VLOOKUP($M15,Micronutrients,13,FALSE)</f>
        <v>None</v>
      </c>
      <c r="O15" s="721">
        <f>VLOOKUP($M15,Micronutrients,14,FALSE)</f>
        <v>0</v>
      </c>
      <c r="P15" s="722">
        <f>VLOOKUP(M15,Micronutrients,12,FALSE)</f>
        <v>1</v>
      </c>
      <c r="Q15" s="702">
        <v>0</v>
      </c>
      <c r="R15" s="700">
        <f>VLOOKUP(M15,Micronutrients,11,FALSE)</f>
        <v>0</v>
      </c>
      <c r="S15" s="703">
        <f>(Q15*VLOOKUP(M15,Micronutrients,10,FALSE)/P15)*O15</f>
        <v>0</v>
      </c>
      <c r="T15" s="713"/>
      <c r="U15" s="916"/>
      <c r="V15" s="916"/>
      <c r="W15" s="917"/>
      <c r="X15" s="736"/>
      <c r="Y15" s="719" t="s">
        <v>13</v>
      </c>
      <c r="Z15" s="720" t="str">
        <f>VLOOKUP($M15,Micronutrients,13,FALSE)</f>
        <v>None</v>
      </c>
      <c r="AA15" s="721">
        <f>VLOOKUP($M15,Micronutrients,14,FALSE)</f>
        <v>0</v>
      </c>
      <c r="AB15" s="722">
        <f>VLOOKUP(Y15,Micronutrients,12,FALSE)</f>
        <v>1</v>
      </c>
      <c r="AC15" s="702">
        <v>0</v>
      </c>
      <c r="AD15" s="700">
        <f>VLOOKUP(Y15,Micronutrients,11,FALSE)</f>
        <v>0</v>
      </c>
      <c r="AE15" s="703">
        <f>(AC15*VLOOKUP(Y15,Micronutrients,10,FALSE)/AB15)*AA15</f>
        <v>0</v>
      </c>
      <c r="AF15" s="713"/>
      <c r="AG15" s="713"/>
      <c r="AH15" s="713"/>
      <c r="AI15" s="714"/>
    </row>
    <row r="16" spans="1:35" ht="18.75">
      <c r="A16" s="719" t="s">
        <v>13</v>
      </c>
      <c r="B16" s="720" t="str">
        <f>VLOOKUP($A16,Micronutrients,13,FALSE)</f>
        <v>None</v>
      </c>
      <c r="C16" s="721">
        <f>VLOOKUP($A16,Micronutrients,14,FALSE)</f>
        <v>0</v>
      </c>
      <c r="D16" s="722">
        <f>VLOOKUP($A16,Micronutrients,12,FALSE)</f>
        <v>1</v>
      </c>
      <c r="E16" s="702">
        <v>0</v>
      </c>
      <c r="F16" s="700">
        <f>VLOOKUP($A16,Micronutrients,11,FALSE)</f>
        <v>0</v>
      </c>
      <c r="G16" s="703">
        <f>(E16*VLOOKUP(A16,Micronutrients,10,FALSE)/D16)*C16</f>
        <v>0</v>
      </c>
      <c r="H16" s="713"/>
      <c r="I16" s="916"/>
      <c r="J16" s="916"/>
      <c r="K16" s="917"/>
      <c r="L16" s="726"/>
      <c r="M16" s="719" t="s">
        <v>13</v>
      </c>
      <c r="N16" s="720" t="str">
        <f>VLOOKUP($M16,Micronutrients,13,FALSE)</f>
        <v>None</v>
      </c>
      <c r="O16" s="721">
        <f>VLOOKUP($M16,Micronutrients,14,FALSE)</f>
        <v>0</v>
      </c>
      <c r="P16" s="722">
        <f>VLOOKUP(M16,Micronutrients,12,FALSE)</f>
        <v>1</v>
      </c>
      <c r="Q16" s="702">
        <v>0</v>
      </c>
      <c r="R16" s="700">
        <f>VLOOKUP(M16,Micronutrients,11,FALSE)</f>
        <v>0</v>
      </c>
      <c r="S16" s="703">
        <f>(Q16*VLOOKUP(M16,Micronutrients,10,FALSE)/P16)*O16</f>
        <v>0</v>
      </c>
      <c r="T16" s="713"/>
      <c r="U16" s="916"/>
      <c r="V16" s="916"/>
      <c r="W16" s="917"/>
      <c r="X16" s="736"/>
      <c r="Y16" s="719" t="s">
        <v>13</v>
      </c>
      <c r="Z16" s="720" t="str">
        <f>VLOOKUP($M16,Micronutrients,13,FALSE)</f>
        <v>None</v>
      </c>
      <c r="AA16" s="721">
        <f>VLOOKUP($M16,Micronutrients,14,FALSE)</f>
        <v>0</v>
      </c>
      <c r="AB16" s="722">
        <f>VLOOKUP(Y16,Micronutrients,12,FALSE)</f>
        <v>1</v>
      </c>
      <c r="AC16" s="702">
        <v>0</v>
      </c>
      <c r="AD16" s="700">
        <f>VLOOKUP(Y16,Micronutrients,11,FALSE)</f>
        <v>0</v>
      </c>
      <c r="AE16" s="703">
        <f>(AC16*VLOOKUP(Y16,Micronutrients,10,FALSE)/AB16)*AA16</f>
        <v>0</v>
      </c>
      <c r="AF16" s="713"/>
      <c r="AG16" s="713"/>
      <c r="AH16" s="713"/>
      <c r="AI16" s="714"/>
    </row>
    <row r="17" spans="1:35" ht="18.75">
      <c r="A17" s="719" t="s">
        <v>13</v>
      </c>
      <c r="B17" s="720" t="str">
        <f>VLOOKUP($A17,Micronutrients,13,FALSE)</f>
        <v>None</v>
      </c>
      <c r="C17" s="721">
        <f>VLOOKUP($A17,Micronutrients,14,FALSE)</f>
        <v>0</v>
      </c>
      <c r="D17" s="722">
        <f>VLOOKUP($A17,Micronutrients,12,FALSE)</f>
        <v>1</v>
      </c>
      <c r="E17" s="702">
        <v>0</v>
      </c>
      <c r="F17" s="700">
        <f>VLOOKUP($A17,Micronutrients,11,FALSE)</f>
        <v>0</v>
      </c>
      <c r="G17" s="703">
        <f>(E17*VLOOKUP(A17,Micronutrients,10,FALSE)/D17)*C17</f>
        <v>0</v>
      </c>
      <c r="H17" s="713"/>
      <c r="I17" s="916"/>
      <c r="J17" s="916"/>
      <c r="K17" s="917"/>
      <c r="L17" s="726"/>
      <c r="M17" s="719" t="s">
        <v>13</v>
      </c>
      <c r="N17" s="720" t="str">
        <f>VLOOKUP($M17,Micronutrients,13,FALSE)</f>
        <v>None</v>
      </c>
      <c r="O17" s="721">
        <f>VLOOKUP($M17,Micronutrients,14,FALSE)</f>
        <v>0</v>
      </c>
      <c r="P17" s="722">
        <f>VLOOKUP(M17,Micronutrients,12,FALSE)</f>
        <v>1</v>
      </c>
      <c r="Q17" s="702">
        <v>0</v>
      </c>
      <c r="R17" s="700">
        <f>VLOOKUP(M17,Micronutrients,11,FALSE)</f>
        <v>0</v>
      </c>
      <c r="S17" s="703">
        <f>(Q17*VLOOKUP(M17,Micronutrients,10,FALSE)/P17)*O17</f>
        <v>0</v>
      </c>
      <c r="T17" s="713"/>
      <c r="U17" s="916"/>
      <c r="V17" s="916"/>
      <c r="W17" s="917"/>
      <c r="X17" s="736"/>
      <c r="Y17" s="719" t="s">
        <v>13</v>
      </c>
      <c r="Z17" s="720" t="str">
        <f>VLOOKUP($M17,Micronutrients,13,FALSE)</f>
        <v>None</v>
      </c>
      <c r="AA17" s="721">
        <f>VLOOKUP($M17,Micronutrients,14,FALSE)</f>
        <v>0</v>
      </c>
      <c r="AB17" s="722">
        <f>VLOOKUP(Y17,Micronutrients,12,FALSE)</f>
        <v>1</v>
      </c>
      <c r="AC17" s="702">
        <v>0</v>
      </c>
      <c r="AD17" s="700">
        <f>VLOOKUP(Y17,Micronutrients,11,FALSE)</f>
        <v>0</v>
      </c>
      <c r="AE17" s="703">
        <f>(AC17*VLOOKUP(Y17,Micronutrients,10,FALSE)/AB17)*AA17</f>
        <v>0</v>
      </c>
      <c r="AF17" s="713"/>
      <c r="AG17" s="713"/>
      <c r="AH17" s="713"/>
      <c r="AI17" s="714"/>
    </row>
    <row r="18" spans="1:35" ht="18.75">
      <c r="A18" s="731"/>
      <c r="B18" s="28"/>
      <c r="C18" s="721"/>
      <c r="D18" s="28"/>
      <c r="E18" s="735"/>
      <c r="F18" s="700"/>
      <c r="G18" s="703"/>
      <c r="H18" s="713"/>
      <c r="I18" s="916"/>
      <c r="J18" s="916"/>
      <c r="K18" s="917"/>
      <c r="L18" s="726"/>
      <c r="M18" s="731"/>
      <c r="N18" s="720"/>
      <c r="O18" s="721"/>
      <c r="P18" s="722"/>
      <c r="Q18" s="735"/>
      <c r="R18" s="700"/>
      <c r="S18" s="703"/>
      <c r="T18" s="713"/>
      <c r="U18" s="916"/>
      <c r="V18" s="916"/>
      <c r="W18" s="917"/>
      <c r="X18" s="736"/>
      <c r="Y18" s="731"/>
      <c r="Z18" s="720"/>
      <c r="AA18" s="721"/>
      <c r="AB18" s="722"/>
      <c r="AC18" s="735"/>
      <c r="AD18" s="700"/>
      <c r="AE18" s="703"/>
      <c r="AF18" s="713"/>
      <c r="AG18" s="713"/>
      <c r="AH18" s="713"/>
      <c r="AI18" s="714"/>
    </row>
    <row r="19" spans="1:35" ht="18.75">
      <c r="A19" s="715" t="s">
        <v>763</v>
      </c>
      <c r="B19" s="737"/>
      <c r="C19" s="738"/>
      <c r="D19" s="737"/>
      <c r="E19" s="739"/>
      <c r="F19" s="700"/>
      <c r="G19" s="703"/>
      <c r="H19" s="713"/>
      <c r="I19" s="916"/>
      <c r="J19" s="916"/>
      <c r="K19" s="917"/>
      <c r="L19" s="726"/>
      <c r="M19" s="715" t="s">
        <v>763</v>
      </c>
      <c r="N19" s="737"/>
      <c r="O19" s="738"/>
      <c r="P19" s="737"/>
      <c r="Q19" s="739"/>
      <c r="R19" s="700"/>
      <c r="S19" s="703"/>
      <c r="T19" s="713"/>
      <c r="U19" s="916"/>
      <c r="V19" s="916"/>
      <c r="W19" s="917"/>
      <c r="X19" s="736"/>
      <c r="Y19" s="715" t="s">
        <v>763</v>
      </c>
      <c r="Z19" s="737"/>
      <c r="AA19" s="738"/>
      <c r="AB19" s="737"/>
      <c r="AC19" s="739"/>
      <c r="AD19" s="700"/>
      <c r="AE19" s="703"/>
      <c r="AF19" s="713"/>
      <c r="AG19" s="713"/>
      <c r="AH19" s="713"/>
      <c r="AI19" s="714"/>
    </row>
    <row r="20" spans="1:35" ht="18.75">
      <c r="A20" s="740" t="s">
        <v>13</v>
      </c>
      <c r="B20" s="720" t="str">
        <f>VLOOKUP(A20,Lime,13,FALSE)</f>
        <v>None</v>
      </c>
      <c r="C20" s="721">
        <f>VLOOKUP(A20,Lime,14,FALSE)</f>
        <v>0</v>
      </c>
      <c r="D20" s="722">
        <f>VLOOKUP(A20,Lime,12,FALSE)</f>
        <v>1</v>
      </c>
      <c r="E20" s="702">
        <v>1</v>
      </c>
      <c r="F20" s="700">
        <f>VLOOKUP(A20,Lime,11,FALSE)</f>
        <v>0</v>
      </c>
      <c r="G20" s="703">
        <f>(E20*VLOOKUP(A20,Lime,10,FALSE)/D20)*C20</f>
        <v>0</v>
      </c>
      <c r="H20" s="713"/>
      <c r="I20" s="713"/>
      <c r="J20" s="713"/>
      <c r="K20" s="714"/>
      <c r="L20" s="726"/>
      <c r="M20" s="740" t="s">
        <v>13</v>
      </c>
      <c r="N20" s="720" t="str">
        <f>VLOOKUP(M20,Lime,13,FALSE)</f>
        <v>None</v>
      </c>
      <c r="O20" s="721">
        <f>VLOOKUP(M20,Lime,14,FALSE)</f>
        <v>0</v>
      </c>
      <c r="P20" s="722">
        <f>VLOOKUP(M20,Lime,12,FALSE)</f>
        <v>1</v>
      </c>
      <c r="Q20" s="702">
        <v>1</v>
      </c>
      <c r="R20" s="700">
        <f>VLOOKUP(M20,Lime,11,FALSE)</f>
        <v>0</v>
      </c>
      <c r="S20" s="703">
        <f>(Q20*VLOOKUP(M20,Lime,10,FALSE)/P20)*O20</f>
        <v>0</v>
      </c>
      <c r="T20" s="713"/>
      <c r="U20" s="708"/>
      <c r="V20" s="713"/>
      <c r="W20" s="714"/>
      <c r="X20" s="736"/>
      <c r="Y20" s="740" t="s">
        <v>13</v>
      </c>
      <c r="Z20" s="720" t="str">
        <f>VLOOKUP(Y20,Lime,13,FALSE)</f>
        <v>None</v>
      </c>
      <c r="AA20" s="721">
        <f>VLOOKUP(Y20,Lime,14,FALSE)</f>
        <v>0</v>
      </c>
      <c r="AB20" s="722">
        <f>VLOOKUP(Y20,Lime,12,FALSE)</f>
        <v>1</v>
      </c>
      <c r="AC20" s="702">
        <v>0</v>
      </c>
      <c r="AD20" s="700">
        <f>VLOOKUP(Y20,Lime,11,FALSE)</f>
        <v>0</v>
      </c>
      <c r="AE20" s="703">
        <f>(AC20*VLOOKUP(Y20,Lime,10,FALSE)/AB20)*AA20</f>
        <v>0</v>
      </c>
      <c r="AF20" s="713"/>
      <c r="AG20" s="713"/>
      <c r="AH20" s="713"/>
      <c r="AI20" s="714"/>
    </row>
    <row r="21" spans="1:35" ht="18.75">
      <c r="A21" s="731"/>
      <c r="B21" s="28"/>
      <c r="C21" s="721"/>
      <c r="D21" s="28"/>
      <c r="E21" s="735"/>
      <c r="F21" s="545"/>
      <c r="G21" s="703"/>
      <c r="H21" s="713"/>
      <c r="I21" s="713"/>
      <c r="J21" s="713"/>
      <c r="K21" s="714"/>
      <c r="L21" s="726"/>
      <c r="M21" s="731"/>
      <c r="N21" s="720"/>
      <c r="O21" s="721"/>
      <c r="P21" s="722"/>
      <c r="Q21" s="735"/>
      <c r="R21" s="700"/>
      <c r="S21" s="703"/>
      <c r="T21" s="713"/>
      <c r="U21" s="708"/>
      <c r="V21" s="713"/>
      <c r="W21" s="714"/>
      <c r="X21" s="736"/>
      <c r="Y21" s="731"/>
      <c r="Z21" s="720"/>
      <c r="AA21" s="721"/>
      <c r="AB21" s="722"/>
      <c r="AC21" s="735"/>
      <c r="AD21" s="700"/>
      <c r="AE21" s="703"/>
      <c r="AF21" s="713"/>
      <c r="AG21" s="713"/>
      <c r="AH21" s="713"/>
      <c r="AI21" s="714"/>
    </row>
    <row r="22" spans="1:35" ht="18.75">
      <c r="A22" s="715" t="s">
        <v>764</v>
      </c>
      <c r="B22" s="737"/>
      <c r="C22" s="738"/>
      <c r="D22" s="737"/>
      <c r="E22" s="739"/>
      <c r="F22" s="741"/>
      <c r="G22" s="741"/>
      <c r="H22" s="713"/>
      <c r="I22" s="713"/>
      <c r="J22" s="713"/>
      <c r="K22" s="714"/>
      <c r="L22" s="726"/>
      <c r="M22" s="715" t="s">
        <v>764</v>
      </c>
      <c r="N22" s="737"/>
      <c r="O22" s="738"/>
      <c r="P22" s="737"/>
      <c r="Q22" s="739"/>
      <c r="R22" s="741"/>
      <c r="S22" s="741"/>
      <c r="T22" s="713"/>
      <c r="U22" s="713"/>
      <c r="V22" s="713"/>
      <c r="W22" s="714"/>
      <c r="X22" s="736"/>
      <c r="Y22" s="715" t="s">
        <v>764</v>
      </c>
      <c r="Z22" s="737"/>
      <c r="AA22" s="738"/>
      <c r="AB22" s="737"/>
      <c r="AC22" s="739"/>
      <c r="AD22" s="741"/>
      <c r="AE22" s="741"/>
      <c r="AF22" s="713"/>
      <c r="AG22" s="713"/>
      <c r="AH22" s="713"/>
      <c r="AI22" s="714"/>
    </row>
    <row r="23" spans="1:35" ht="18.75">
      <c r="A23" s="740" t="s">
        <v>13</v>
      </c>
      <c r="B23" s="720" t="str">
        <f>VLOOKUP(A23,NitrogenStabilizers,13,FALSE)</f>
        <v>None</v>
      </c>
      <c r="C23" s="721">
        <f>VLOOKUP(A23,NitrogenStabilizers,14,FALSE)</f>
        <v>0</v>
      </c>
      <c r="D23" s="722">
        <f>VLOOKUP(A23,NitrogenStabilizers,12,FALSE)</f>
        <v>1</v>
      </c>
      <c r="E23" s="702">
        <v>0</v>
      </c>
      <c r="F23" s="700">
        <f>VLOOKUP(A23,NitrogenStabilizers,11,FALSE)</f>
        <v>0</v>
      </c>
      <c r="G23" s="703">
        <f>(E23*VLOOKUP(A23,NitrogenStabilizers,10,FALSE)/D23)*C23</f>
        <v>0</v>
      </c>
      <c r="H23" s="713"/>
      <c r="I23" s="713"/>
      <c r="J23" s="713"/>
      <c r="K23" s="714"/>
      <c r="L23" s="726"/>
      <c r="M23" s="740" t="s">
        <v>13</v>
      </c>
      <c r="N23" s="720" t="str">
        <f>VLOOKUP(M23,NitrogenStabilizers,13,FALSE)</f>
        <v>None</v>
      </c>
      <c r="O23" s="721">
        <f>VLOOKUP(M23,NitrogenStabilizers,14,FALSE)</f>
        <v>0</v>
      </c>
      <c r="P23" s="722">
        <f>VLOOKUP(M23,NitrogenStabilizers,12,FALSE)</f>
        <v>1</v>
      </c>
      <c r="Q23" s="702">
        <v>0</v>
      </c>
      <c r="R23" s="700">
        <f>VLOOKUP(M23,NitrogenStabilizers,11,FALSE)</f>
        <v>0</v>
      </c>
      <c r="S23" s="703">
        <f>(Q23*VLOOKUP(M23,NitrogenStabilizers,10,FALSE)/P23)*O23</f>
        <v>0</v>
      </c>
      <c r="T23" s="713"/>
      <c r="U23" s="713"/>
      <c r="V23" s="713"/>
      <c r="W23" s="714"/>
      <c r="X23" s="736"/>
      <c r="Y23" s="740" t="s">
        <v>13</v>
      </c>
      <c r="Z23" s="720" t="str">
        <f>VLOOKUP(Y23,NitrogenStabilizers,13,FALSE)</f>
        <v>None</v>
      </c>
      <c r="AA23" s="721">
        <f>VLOOKUP(Y23,NitrogenStabilizers,14,FALSE)</f>
        <v>0</v>
      </c>
      <c r="AB23" s="722">
        <f>VLOOKUP(Y23,NitrogenStabilizers,12,FALSE)</f>
        <v>1</v>
      </c>
      <c r="AC23" s="702">
        <v>0</v>
      </c>
      <c r="AD23" s="700">
        <f>VLOOKUP(Y23,NitrogenStabilizers,11,FALSE)</f>
        <v>0</v>
      </c>
      <c r="AE23" s="703">
        <f>(AC23*VLOOKUP(Y23,NitrogenStabilizers,10,FALSE)/AB23)*AA23</f>
        <v>0</v>
      </c>
      <c r="AF23" s="713"/>
      <c r="AG23" s="713"/>
      <c r="AH23" s="713"/>
      <c r="AI23" s="714"/>
    </row>
    <row r="24" spans="1:35" ht="18.75">
      <c r="A24" s="740" t="s">
        <v>13</v>
      </c>
      <c r="B24" s="720" t="str">
        <f>VLOOKUP(A24,NitrogenStabilizers,13,FALSE)</f>
        <v>None</v>
      </c>
      <c r="C24" s="721">
        <f>VLOOKUP(A24,NitrogenStabilizers,14,FALSE)</f>
        <v>0</v>
      </c>
      <c r="D24" s="722">
        <f>VLOOKUP(A24,NitrogenStabilizers,12,FALSE)</f>
        <v>1</v>
      </c>
      <c r="E24" s="702">
        <v>0</v>
      </c>
      <c r="F24" s="700">
        <f>VLOOKUP(A24,NitrogenStabilizers,11,FALSE)</f>
        <v>0</v>
      </c>
      <c r="G24" s="703">
        <f>(E24*VLOOKUP(A24,NitrogenStabilizers,10,FALSE)/D24)*C24</f>
        <v>0</v>
      </c>
      <c r="H24" s="713"/>
      <c r="I24" s="713"/>
      <c r="J24" s="713"/>
      <c r="K24" s="742" t="s">
        <v>439</v>
      </c>
      <c r="L24" s="743"/>
      <c r="M24" s="740" t="s">
        <v>13</v>
      </c>
      <c r="N24" s="720" t="str">
        <f>VLOOKUP(M24,NitrogenStabilizers,13,FALSE)</f>
        <v>None</v>
      </c>
      <c r="O24" s="721">
        <f>VLOOKUP(M24,NitrogenStabilizers,14,FALSE)</f>
        <v>0</v>
      </c>
      <c r="P24" s="722">
        <f>VLOOKUP(M24,NitrogenStabilizers,12,FALSE)</f>
        <v>1</v>
      </c>
      <c r="Q24" s="702">
        <v>0</v>
      </c>
      <c r="R24" s="700">
        <f>VLOOKUP(M24,NitrogenStabilizers,11,FALSE)</f>
        <v>0</v>
      </c>
      <c r="S24" s="703">
        <f>(Q24*VLOOKUP(M24,NitrogenStabilizers,10,FALSE)/P24)*O24</f>
        <v>0</v>
      </c>
      <c r="T24" s="713"/>
      <c r="U24" s="713"/>
      <c r="V24" s="713"/>
      <c r="W24" s="742" t="s">
        <v>439</v>
      </c>
      <c r="X24" s="736"/>
      <c r="Y24" s="740" t="s">
        <v>13</v>
      </c>
      <c r="Z24" s="720" t="str">
        <f>VLOOKUP(Y24,NitrogenStabilizers,13,FALSE)</f>
        <v>None</v>
      </c>
      <c r="AA24" s="721">
        <f>VLOOKUP(Y24,NitrogenStabilizers,14,FALSE)</f>
        <v>0</v>
      </c>
      <c r="AB24" s="722">
        <f>VLOOKUP(Y24,NitrogenStabilizers,12,FALSE)</f>
        <v>1</v>
      </c>
      <c r="AC24" s="702">
        <v>0</v>
      </c>
      <c r="AD24" s="700">
        <f>VLOOKUP(Y24,NitrogenStabilizers,11,FALSE)</f>
        <v>0</v>
      </c>
      <c r="AE24" s="703">
        <f>(AC24*VLOOKUP(Y24,NitrogenStabilizers,10,FALSE)/AB24)*AA24</f>
        <v>0</v>
      </c>
      <c r="AF24" s="713"/>
      <c r="AG24" s="713"/>
      <c r="AH24" s="713"/>
      <c r="AI24" s="742" t="s">
        <v>439</v>
      </c>
    </row>
    <row r="25" spans="1:35" ht="19.5" thickBot="1">
      <c r="A25" s="744" t="s">
        <v>151</v>
      </c>
      <c r="B25" s="745"/>
      <c r="C25" s="745"/>
      <c r="D25" s="745"/>
      <c r="E25" s="746"/>
      <c r="F25" s="745"/>
      <c r="G25" s="747">
        <f>SUM(G6:G24)</f>
        <v>38.375</v>
      </c>
      <c r="H25" s="713"/>
      <c r="I25" s="713"/>
      <c r="J25" s="713"/>
      <c r="K25" s="742" t="s">
        <v>440</v>
      </c>
      <c r="L25" s="743"/>
      <c r="M25" s="744" t="s">
        <v>151</v>
      </c>
      <c r="N25" s="745"/>
      <c r="O25" s="745"/>
      <c r="P25" s="745"/>
      <c r="Q25" s="746"/>
      <c r="R25" s="745"/>
      <c r="S25" s="747">
        <f>SUM(S6:S24)</f>
        <v>37.975000000000001</v>
      </c>
      <c r="T25" s="713"/>
      <c r="U25" s="713"/>
      <c r="V25" s="713"/>
      <c r="W25" s="742" t="s">
        <v>440</v>
      </c>
      <c r="X25" s="736"/>
      <c r="Y25" s="744" t="s">
        <v>151</v>
      </c>
      <c r="Z25" s="745"/>
      <c r="AA25" s="745"/>
      <c r="AB25" s="745"/>
      <c r="AC25" s="746"/>
      <c r="AD25" s="745"/>
      <c r="AE25" s="747">
        <f>SUM(AE6:AE24)</f>
        <v>36.375</v>
      </c>
      <c r="AF25" s="713"/>
      <c r="AG25" s="713"/>
      <c r="AH25" s="713"/>
      <c r="AI25" s="742" t="s">
        <v>440</v>
      </c>
    </row>
    <row r="26" spans="1:35" ht="16.149999999999999" customHeight="1" thickTop="1">
      <c r="A26" s="344"/>
      <c r="B26" s="748"/>
      <c r="C26" s="748"/>
      <c r="D26" s="748"/>
      <c r="E26" s="748"/>
      <c r="F26" s="748"/>
      <c r="G26" s="749"/>
      <c r="H26" s="713"/>
      <c r="I26" s="713"/>
      <c r="J26" s="713"/>
      <c r="K26" s="707" t="s">
        <v>438</v>
      </c>
      <c r="L26" s="909"/>
      <c r="M26" s="344"/>
      <c r="N26" s="748"/>
      <c r="O26" s="748"/>
      <c r="P26" s="748"/>
      <c r="Q26" s="748"/>
      <c r="R26" s="748"/>
      <c r="S26" s="749"/>
      <c r="T26" s="713"/>
      <c r="U26" s="713"/>
      <c r="V26" s="713"/>
      <c r="W26" s="707" t="s">
        <v>438</v>
      </c>
      <c r="X26" s="736"/>
      <c r="Y26" s="344"/>
      <c r="Z26" s="748"/>
      <c r="AA26" s="748"/>
      <c r="AB26" s="748"/>
      <c r="AC26" s="748"/>
      <c r="AD26" s="748"/>
      <c r="AE26" s="749"/>
      <c r="AF26" s="713"/>
      <c r="AG26" s="713"/>
      <c r="AH26" s="713"/>
      <c r="AI26" s="707" t="s">
        <v>438</v>
      </c>
    </row>
    <row r="27" spans="1:35" ht="16.149999999999999" customHeight="1" thickBot="1">
      <c r="A27" s="750"/>
      <c r="B27" s="713"/>
      <c r="C27" s="713"/>
      <c r="D27" s="713"/>
      <c r="E27" s="713"/>
      <c r="F27" s="713"/>
      <c r="G27" s="713"/>
      <c r="H27" s="713"/>
      <c r="I27" s="713"/>
      <c r="J27" s="713"/>
      <c r="K27" s="751"/>
      <c r="L27" s="909"/>
      <c r="M27" s="750"/>
      <c r="N27" s="708"/>
      <c r="O27" s="708"/>
      <c r="P27" s="708"/>
      <c r="Q27" s="708"/>
      <c r="R27" s="708"/>
      <c r="S27" s="708"/>
      <c r="T27" s="713"/>
      <c r="U27" s="713"/>
      <c r="V27" s="713"/>
      <c r="W27" s="751"/>
      <c r="X27" s="909"/>
      <c r="Y27" s="752"/>
      <c r="Z27" s="708"/>
      <c r="AA27" s="708"/>
      <c r="AB27" s="708"/>
      <c r="AC27" s="708"/>
      <c r="AD27" s="708"/>
      <c r="AE27" s="708"/>
      <c r="AF27" s="713"/>
      <c r="AG27" s="713"/>
      <c r="AH27" s="713"/>
      <c r="AI27" s="751"/>
    </row>
    <row r="28" spans="1:35" ht="19.5" thickBot="1">
      <c r="A28" s="910" t="s">
        <v>134</v>
      </c>
      <c r="B28" s="911"/>
      <c r="C28" s="911"/>
      <c r="D28" s="911"/>
      <c r="E28" s="911"/>
      <c r="F28" s="911"/>
      <c r="G28" s="911"/>
      <c r="H28" s="911"/>
      <c r="I28" s="911"/>
      <c r="J28" s="911"/>
      <c r="K28" s="912"/>
      <c r="L28" s="726"/>
      <c r="M28" s="910" t="s">
        <v>134</v>
      </c>
      <c r="N28" s="911"/>
      <c r="O28" s="911"/>
      <c r="P28" s="911"/>
      <c r="Q28" s="911"/>
      <c r="R28" s="911"/>
      <c r="S28" s="911"/>
      <c r="T28" s="911"/>
      <c r="U28" s="911"/>
      <c r="V28" s="911"/>
      <c r="W28" s="912"/>
      <c r="X28" s="909"/>
      <c r="Y28" s="910" t="s">
        <v>134</v>
      </c>
      <c r="Z28" s="911"/>
      <c r="AA28" s="911"/>
      <c r="AB28" s="911"/>
      <c r="AC28" s="911"/>
      <c r="AD28" s="911"/>
      <c r="AE28" s="911"/>
      <c r="AF28" s="911"/>
      <c r="AG28" s="911"/>
      <c r="AH28" s="911"/>
      <c r="AI28" s="912"/>
    </row>
    <row r="29" spans="1:35" ht="56.25">
      <c r="A29" s="709" t="s">
        <v>147</v>
      </c>
      <c r="B29" s="710" t="s">
        <v>125</v>
      </c>
      <c r="C29" s="711" t="s">
        <v>126</v>
      </c>
      <c r="D29" s="712" t="s">
        <v>12</v>
      </c>
      <c r="E29" s="712" t="s">
        <v>127</v>
      </c>
      <c r="F29" s="710" t="s">
        <v>11</v>
      </c>
      <c r="G29" s="712" t="s">
        <v>128</v>
      </c>
      <c r="H29" s="713"/>
      <c r="I29" s="713"/>
      <c r="J29" s="713"/>
      <c r="K29" s="714"/>
      <c r="L29" s="708"/>
      <c r="M29" s="709" t="s">
        <v>147</v>
      </c>
      <c r="N29" s="710" t="s">
        <v>125</v>
      </c>
      <c r="O29" s="711" t="s">
        <v>126</v>
      </c>
      <c r="P29" s="712" t="s">
        <v>12</v>
      </c>
      <c r="Q29" s="712" t="s">
        <v>127</v>
      </c>
      <c r="R29" s="710" t="s">
        <v>11</v>
      </c>
      <c r="S29" s="712" t="s">
        <v>128</v>
      </c>
      <c r="T29" s="713"/>
      <c r="U29" s="713"/>
      <c r="V29" s="713"/>
      <c r="W29" s="714"/>
      <c r="X29" s="713"/>
      <c r="Y29" s="709" t="s">
        <v>147</v>
      </c>
      <c r="Z29" s="710" t="s">
        <v>125</v>
      </c>
      <c r="AA29" s="711" t="s">
        <v>126</v>
      </c>
      <c r="AB29" s="712" t="s">
        <v>12</v>
      </c>
      <c r="AC29" s="712" t="s">
        <v>127</v>
      </c>
      <c r="AD29" s="710" t="s">
        <v>11</v>
      </c>
      <c r="AE29" s="712" t="s">
        <v>128</v>
      </c>
      <c r="AF29" s="713"/>
      <c r="AG29" s="713"/>
      <c r="AH29" s="713"/>
      <c r="AI29" s="714"/>
    </row>
    <row r="30" spans="1:35" ht="18.75">
      <c r="A30" s="715" t="s">
        <v>761</v>
      </c>
      <c r="B30" s="545"/>
      <c r="C30" s="716"/>
      <c r="D30" s="717"/>
      <c r="E30" s="70" t="s">
        <v>153</v>
      </c>
      <c r="F30" s="718"/>
      <c r="G30" s="703"/>
      <c r="H30" s="713"/>
      <c r="I30" s="575" t="s">
        <v>115</v>
      </c>
      <c r="J30" s="575" t="s">
        <v>116</v>
      </c>
      <c r="K30" s="576" t="s">
        <v>117</v>
      </c>
      <c r="L30" s="708"/>
      <c r="M30" s="715" t="s">
        <v>761</v>
      </c>
      <c r="N30" s="545"/>
      <c r="O30" s="716"/>
      <c r="P30" s="716"/>
      <c r="Q30" s="143" t="s">
        <v>153</v>
      </c>
      <c r="R30" s="718"/>
      <c r="S30" s="703"/>
      <c r="T30" s="713"/>
      <c r="U30" s="575" t="s">
        <v>115</v>
      </c>
      <c r="V30" s="575" t="s">
        <v>116</v>
      </c>
      <c r="W30" s="576" t="s">
        <v>117</v>
      </c>
      <c r="X30" s="699"/>
      <c r="Y30" s="715" t="s">
        <v>761</v>
      </c>
      <c r="Z30" s="545"/>
      <c r="AA30" s="716"/>
      <c r="AB30" s="716"/>
      <c r="AC30" s="143" t="s">
        <v>153</v>
      </c>
      <c r="AD30" s="718"/>
      <c r="AE30" s="703"/>
      <c r="AF30" s="713"/>
      <c r="AG30" s="575" t="s">
        <v>115</v>
      </c>
      <c r="AH30" s="575" t="s">
        <v>116</v>
      </c>
      <c r="AI30" s="576" t="s">
        <v>117</v>
      </c>
    </row>
    <row r="31" spans="1:35" ht="18.75">
      <c r="A31" s="719" t="s">
        <v>14</v>
      </c>
      <c r="B31" s="720" t="str">
        <f t="shared" ref="B31:B36" si="12">VLOOKUP(A31,Macronutrients,13,FALSE)</f>
        <v>Tons</v>
      </c>
      <c r="C31" s="721">
        <f>VLOOKUP(A31,'Fertilizer Pricing'!$A$4:$N$27,14,FALSE)</f>
        <v>245</v>
      </c>
      <c r="D31" s="722">
        <f t="shared" ref="D31:D36" si="13">VLOOKUP($A31,Macronutrients,12,FALSE)</f>
        <v>2000</v>
      </c>
      <c r="E31" s="702">
        <v>6</v>
      </c>
      <c r="F31" s="700" t="str">
        <f t="shared" ref="F31:F36" si="14">VLOOKUP($A31,Macronutrients,11,FALSE)</f>
        <v>gal</v>
      </c>
      <c r="G31" s="703">
        <f t="shared" ref="G31:G36" si="15">(E31*VLOOKUP(A31,Macronutrients,10,FALSE)/D31)*C31</f>
        <v>7.8424499999999995</v>
      </c>
      <c r="H31" s="713"/>
      <c r="I31" s="724">
        <f>VLOOKUP(A31,'Fertilizer Pricing'!$A$4:$N$27,2,FALSE)*E31+VLOOKUP(A32,'Fertilizer Pricing'!$A$4:$N$27,2,FALSE)*E32+VLOOKUP(A33,'Fertilizer Pricing'!$A$4:$N$27,2,FALSE)*E33+VLOOKUP(A34,'Fertilizer Pricing'!$A$4:$N$27,2,FALSE)*E34+VLOOKUP(A35,'Fertilizer Pricing'!$A$4:$N$27,2,FALSE)*E35+VLOOKUP(A36,'Fertilizer Pricing'!$A$4:$N$27,2,FALSE)*E36+VLOOKUP(A39,'Fertilizer Pricing'!$A$31:$N$35,2,FALSE)*E39+VLOOKUP(A40,'Fertilizer Pricing'!$A$31:$N$35,2,FALSE)*E40+VLOOKUP(A41,'Fertilizer Pricing'!$A$31:$N$35,2,FALSE)*E41+VLOOKUP(A42,'Fertilizer Pricing'!$A$31:$N$35,2,FALSE)*E42</f>
        <v>26.270400000000002</v>
      </c>
      <c r="J31" s="724">
        <f>VLOOKUP(A31,'Fertilizer Pricing'!$A$4:$N$27,3,FALSE)*E31+VLOOKUP(A32,'Fertilizer Pricing'!$A$4:$N$27,3,FALSE)*E32+VLOOKUP(A33,'Fertilizer Pricing'!$A$4:$N$27,3,FALSE)*E33+VLOOKUP(A34,'Fertilizer Pricing'!$A$4:$N$27,3,FALSE)*E34+VLOOKUP(A35,'Fertilizer Pricing'!$A$4:$N$27,3,FALSE)*E35+VLOOKUP(A36,'Fertilizer Pricing'!$A$4:$N$27,3,FALSE)*E36+VLOOKUP(A39,'Fertilizer Pricing'!$A$31:$N$35,3,FALSE)*E39+VLOOKUP(A40,'Fertilizer Pricing'!$A$31:$N$35,3,FALSE)*E40+VLOOKUP(A41,'Fertilizer Pricing'!$A$31:$N$35,3,FALSE)*E41+VLOOKUP(A42,'Fertilizer Pricing'!$A$31:$N$35,3,FALSE)*E42</f>
        <v>23.868000000000002</v>
      </c>
      <c r="K31" s="725">
        <f>VLOOKUP(A31,'Fertilizer Pricing'!$A$4:$N$27,4,FALSE)*E31+VLOOKUP(A32,'Fertilizer Pricing'!$A$4:$N$27,4,FALSE)*E32+VLOOKUP(A33,'Fertilizer Pricing'!$A$4:$N$27,4,FALSE)*E33+VLOOKUP(A34,'Fertilizer Pricing'!$A$4:$N$27,4,FALSE)*E34+VLOOKUP(A35,'Fertilizer Pricing'!$A$4:$N$27,4,FALSE)*E35+VLOOKUP(A36,'Fertilizer Pricing'!$A$4:$N$27,4,FALSE)*E36+VLOOKUP(A39,'Fertilizer Pricing'!$A$31:$N$35,4,FALSE)*E39+VLOOKUP(A40,'Fertilizer Pricing'!$A$31:$N$35,4,FALSE)*E40+VLOOKUP(A41,'Fertilizer Pricing'!$A$31:$N$35,4,FALSE)*E41+VLOOKUP(A42,'Fertilizer Pricing'!$A$31:$N$35,4,FALSE)*E42</f>
        <v>0</v>
      </c>
      <c r="L31" s="726"/>
      <c r="M31" s="719" t="s">
        <v>13</v>
      </c>
      <c r="N31" s="720" t="str">
        <f>VLOOKUP(M31,Macronutrients,13,FALSE)</f>
        <v>None</v>
      </c>
      <c r="O31" s="721">
        <f>VLOOKUP(M31,'Fertilizer Pricing'!$A$4:$N$27,14,FALSE)</f>
        <v>0</v>
      </c>
      <c r="P31" s="722">
        <f t="shared" ref="P31:P36" si="16">VLOOKUP($M31,Macronutrients,12,FALSE)</f>
        <v>1</v>
      </c>
      <c r="Q31" s="702">
        <v>0</v>
      </c>
      <c r="R31" s="700">
        <f>VLOOKUP($M31,Macronutrients,11,FALSE)</f>
        <v>0</v>
      </c>
      <c r="S31" s="703">
        <f>(Q31*VLOOKUP(M31,Macronutrients,10,FALSE)/P31)*O31</f>
        <v>0</v>
      </c>
      <c r="T31" s="713"/>
      <c r="U31" s="724">
        <f>VLOOKUP(M31,'Fertilizer Pricing'!$A$4:$N$27,2,FALSE)*Q31+VLOOKUP(M32,'Fertilizer Pricing'!$A$4:$N$27,2,FALSE)*Q32+VLOOKUP(M33,'Fertilizer Pricing'!$A$4:$N$27,2,FALSE)*Q33+VLOOKUP(M34,'Fertilizer Pricing'!$A$4:$N$27,2,FALSE)*Q34+VLOOKUP(M35,'Fertilizer Pricing'!$A$4:$N$27,2,FALSE)*Q35+VLOOKUP(M36,'Fertilizer Pricing'!$A$4:$N$27,2,FALSE)*Q36+VLOOKUP(M39,'Fertilizer Pricing'!$A$31:$N$35,2,FALSE)*Q39+VLOOKUP(M40,'Fertilizer Pricing'!$A$31:$N$35,2,FALSE)*Q40+VLOOKUP(M41,'Fertilizer Pricing'!$A$31:$N$35,2,FALSE)*Q41+VLOOKUP(M42,'Fertilizer Pricing'!$A$31:$N$35,2,FALSE)*Q42</f>
        <v>0</v>
      </c>
      <c r="V31" s="724">
        <f>VLOOKUP(M31,'Fertilizer Pricing'!$A$4:$N$27,3,FALSE)*Q31+VLOOKUP(M32,'Fertilizer Pricing'!$A$4:$N$27,3,FALSE)*Q32+VLOOKUP(M33,'Fertilizer Pricing'!$A$4:$N$27,3,FALSE)*Q33+VLOOKUP(M34,'Fertilizer Pricing'!$A$4:$N$27,3,FALSE)*Q34+VLOOKUP(M35,'Fertilizer Pricing'!$A$4:$N$27,3,FALSE)*Q35+VLOOKUP(M36,'Fertilizer Pricing'!$A$4:$N$27,3,FALSE)*Q36+VLOOKUP(M39,'Fertilizer Pricing'!$A$31:$N$35,3,FALSE)*Q39+VLOOKUP(M40,'Fertilizer Pricing'!$A$31:$N$35,3,FALSE)*Q40+VLOOKUP(M41,'Fertilizer Pricing'!$A$31:$N$35,3,FALSE)*Q41+VLOOKUP(M42,'Fertilizer Pricing'!$A$31:$N$35,3,FALSE)*Q42</f>
        <v>0</v>
      </c>
      <c r="W31" s="725">
        <f>VLOOKUP(M31,'Fertilizer Pricing'!$A$4:$N$27,4,FALSE)*Q31+VLOOKUP(M32,'Fertilizer Pricing'!$A$4:$N$27,4,FALSE)*Q32+VLOOKUP(M33,'Fertilizer Pricing'!$A$4:$N$27,4,FALSE)*Q33+VLOOKUP(M34,'Fertilizer Pricing'!$A$4:$N$27,4,FALSE)*Q34+VLOOKUP(M35,'Fertilizer Pricing'!$A$4:$N$27,4,FALSE)*Q35+VLOOKUP(M36,'Fertilizer Pricing'!$A$4:$N$27,4,FALSE)*Q36+VLOOKUP(M39,'Fertilizer Pricing'!$A$31:$N$35,4,FALSE)*Q39+VLOOKUP(M40,'Fertilizer Pricing'!$A$31:$N$35,4,FALSE)*Q40+VLOOKUP(M41,'Fertilizer Pricing'!$A$31:$N$35,4,FALSE)*Q41+VLOOKUP(M42,'Fertilizer Pricing'!$A$31:$N$35,4,FALSE)*Q42</f>
        <v>0</v>
      </c>
      <c r="X31" s="727"/>
      <c r="Y31" s="719" t="s">
        <v>13</v>
      </c>
      <c r="Z31" s="720" t="str">
        <f>VLOOKUP(Y31,Macronutrients,13,FALSE)</f>
        <v>None</v>
      </c>
      <c r="AA31" s="721">
        <f>VLOOKUP(Y31,'Fertilizer Pricing'!$A$4:$N$27,14,FALSE)</f>
        <v>0</v>
      </c>
      <c r="AB31" s="722">
        <f t="shared" ref="AB31:AB36" si="17">VLOOKUP($Y31,Macronutrients,12,FALSE)</f>
        <v>1</v>
      </c>
      <c r="AC31" s="702">
        <v>0</v>
      </c>
      <c r="AD31" s="700">
        <f t="shared" ref="AD31:AD36" si="18">VLOOKUP($Y31,Macronutrients,11,FALSE)</f>
        <v>0</v>
      </c>
      <c r="AE31" s="703">
        <f>(AC31*VLOOKUP(Y31,Macronutrients,10,FALSE)/AB31)*AA31</f>
        <v>0</v>
      </c>
      <c r="AF31" s="713"/>
      <c r="AG31" s="724">
        <f>VLOOKUP(Y31,'Fertilizer Pricing'!$A$4:$N$27,2,FALSE)*AC31+VLOOKUP(Y32,'Fertilizer Pricing'!$A$4:$N$27,2,FALSE)*AC32+VLOOKUP(Y33,'Fertilizer Pricing'!$A$4:$N$27,2,FALSE)*AC33+VLOOKUP(Y34,'Fertilizer Pricing'!$A$4:$N$27,2,FALSE)*AC34+VLOOKUP(Y35,'Fertilizer Pricing'!$A$4:$N$27,2,FALSE)*AC35+VLOOKUP(Y36,'Fertilizer Pricing'!$A$4:$N$27,2,FALSE)*AC36+VLOOKUP(Y39,'Fertilizer Pricing'!$A$31:$N$35,2,FALSE)*AC39+VLOOKUP(Y40,'Fertilizer Pricing'!$A$31:$N$35,2,FALSE)*AC40+VLOOKUP(Y41,'Fertilizer Pricing'!$A$31:$N$35,2,FALSE)*AC41+VLOOKUP(Y42,'Fertilizer Pricing'!$A$31:$N$35,2,FALSE)*AC42</f>
        <v>0</v>
      </c>
      <c r="AH31" s="724">
        <f>VLOOKUP(Y31,'Fertilizer Pricing'!$A$4:$N$27,3,FALSE)*AC31+VLOOKUP(Y32,'Fertilizer Pricing'!$A$4:$N$27,3,FALSE)*AC32+VLOOKUP(Y33,'Fertilizer Pricing'!$A$4:$N$27,3,FALSE)*AC33+VLOOKUP(Y34,'Fertilizer Pricing'!$A$4:$N$27,3,FALSE)*AC34+VLOOKUP(Y35,'Fertilizer Pricing'!$A$4:$N$27,3,FALSE)*AC35+VLOOKUP(Y36,'Fertilizer Pricing'!$A$4:$N$27,3,FALSE)*AC36+VLOOKUP(Y39,'Fertilizer Pricing'!$A$31:$N$35,3,FALSE)*AC39+VLOOKUP(Y40,'Fertilizer Pricing'!$A$31:$N$35,3,FALSE)*AC40+VLOOKUP(Y41,'Fertilizer Pricing'!$A$31:$N$35,3,FALSE)*AC41+VLOOKUP(Y42,'Fertilizer Pricing'!$A$31:$N$35,3,FALSE)*AC42</f>
        <v>0</v>
      </c>
      <c r="AI31" s="725">
        <f>VLOOKUP(Y31,'Fertilizer Pricing'!$A$4:$N$27,4,FALSE)*AC31+VLOOKUP(Y32,'Fertilizer Pricing'!$A$4:$N$27,4,FALSE)*AC32+VLOOKUP(Y33,'Fertilizer Pricing'!$A$4:$N$27,4,FALSE)*AC33+VLOOKUP(Y34,'Fertilizer Pricing'!$A$4:$N$27,4,FALSE)*AC34+VLOOKUP(Y35,'Fertilizer Pricing'!$A$4:$N$27,4,FALSE)*AC35+VLOOKUP(Y36,'Fertilizer Pricing'!$A$4:$N$27,4,FALSE)*AC36+VLOOKUP(Y39,'Fertilizer Pricing'!$A$31:$N$35,4,FALSE)*AC39+VLOOKUP(Y40,'Fertilizer Pricing'!$A$31:$N$35,4,FALSE)*AC40+VLOOKUP(Y41,'Fertilizer Pricing'!$A$31:$N$35,4,FALSE)*AC41+VLOOKUP(Y42,'Fertilizer Pricing'!$A$31:$N$35,4,FALSE)*AC42</f>
        <v>0</v>
      </c>
    </row>
    <row r="32" spans="1:35" ht="18.75">
      <c r="A32" s="719" t="s">
        <v>17</v>
      </c>
      <c r="B32" s="720" t="str">
        <f t="shared" si="12"/>
        <v>Tons</v>
      </c>
      <c r="C32" s="721">
        <f>VLOOKUP(A32,'Fertilizer Pricing'!$A$4:$N$27,14,FALSE)</f>
        <v>455</v>
      </c>
      <c r="D32" s="722">
        <f t="shared" si="13"/>
        <v>2000</v>
      </c>
      <c r="E32" s="702">
        <v>6</v>
      </c>
      <c r="F32" s="700" t="str">
        <f t="shared" si="14"/>
        <v>gal</v>
      </c>
      <c r="G32" s="703">
        <f t="shared" si="15"/>
        <v>15.970499999999996</v>
      </c>
      <c r="H32" s="713"/>
      <c r="I32" s="728"/>
      <c r="J32" s="728"/>
      <c r="K32" s="729"/>
      <c r="L32" s="726"/>
      <c r="M32" s="719" t="s">
        <v>13</v>
      </c>
      <c r="N32" s="720" t="str">
        <f t="shared" ref="N32:N36" si="19">VLOOKUP(M32,Macronutrients,13,FALSE)</f>
        <v>None</v>
      </c>
      <c r="O32" s="721">
        <f>VLOOKUP(M32,'Fertilizer Pricing'!$A$4:$N$27,14,FALSE)</f>
        <v>0</v>
      </c>
      <c r="P32" s="722">
        <f t="shared" si="16"/>
        <v>1</v>
      </c>
      <c r="Q32" s="702">
        <v>0</v>
      </c>
      <c r="R32" s="700" t="str">
        <f t="shared" ref="R32:R36" si="20">VLOOKUP($A32,Macronutrients,11,FALSE)</f>
        <v>gal</v>
      </c>
      <c r="S32" s="703">
        <f t="shared" ref="S32:S36" si="21">(Q32*VLOOKUP(M32,Macronutrients,10,FALSE)/P32)*O32</f>
        <v>0</v>
      </c>
      <c r="T32" s="713"/>
      <c r="U32" s="728"/>
      <c r="V32" s="728"/>
      <c r="W32" s="729"/>
      <c r="X32" s="730"/>
      <c r="Y32" s="719" t="s">
        <v>13</v>
      </c>
      <c r="Z32" s="720" t="str">
        <f t="shared" ref="Z32:Z36" si="22">VLOOKUP(Y32,Macronutrients,13,FALSE)</f>
        <v>None</v>
      </c>
      <c r="AA32" s="721">
        <f>VLOOKUP(Y32,'Fertilizer Pricing'!$A$4:$N$27,14,FALSE)</f>
        <v>0</v>
      </c>
      <c r="AB32" s="722">
        <f t="shared" si="17"/>
        <v>1</v>
      </c>
      <c r="AC32" s="702">
        <v>0</v>
      </c>
      <c r="AD32" s="700">
        <f t="shared" si="18"/>
        <v>0</v>
      </c>
      <c r="AE32" s="703">
        <f>(AC32*VLOOKUP(Y32,Macronutrients,10,FALSE)/AB32)*AA32</f>
        <v>0</v>
      </c>
      <c r="AF32" s="713"/>
      <c r="AG32" s="728"/>
      <c r="AH32" s="728"/>
      <c r="AI32" s="729"/>
    </row>
    <row r="33" spans="1:35" ht="18.75">
      <c r="A33" s="719" t="s">
        <v>21</v>
      </c>
      <c r="B33" s="720" t="str">
        <f t="shared" si="12"/>
        <v>Tons</v>
      </c>
      <c r="C33" s="721">
        <f>VLOOKUP(A33,'Fertilizer Pricing'!$A$4:$N$27,14,FALSE)</f>
        <v>330</v>
      </c>
      <c r="D33" s="722">
        <f t="shared" si="13"/>
        <v>2000</v>
      </c>
      <c r="E33" s="702">
        <v>1</v>
      </c>
      <c r="F33" s="700" t="str">
        <f t="shared" si="14"/>
        <v>gal</v>
      </c>
      <c r="G33" s="703">
        <f t="shared" si="15"/>
        <v>1.8215999999999999</v>
      </c>
      <c r="H33" s="713"/>
      <c r="I33" s="575" t="s">
        <v>118</v>
      </c>
      <c r="J33" s="575" t="s">
        <v>119</v>
      </c>
      <c r="K33" s="576" t="s">
        <v>120</v>
      </c>
      <c r="L33" s="726"/>
      <c r="M33" s="719" t="s">
        <v>13</v>
      </c>
      <c r="N33" s="720" t="str">
        <f t="shared" si="19"/>
        <v>None</v>
      </c>
      <c r="O33" s="721">
        <f>VLOOKUP(M33,'Fertilizer Pricing'!$A$4:$N$27,14,FALSE)</f>
        <v>0</v>
      </c>
      <c r="P33" s="722">
        <f t="shared" si="16"/>
        <v>1</v>
      </c>
      <c r="Q33" s="702">
        <v>0</v>
      </c>
      <c r="R33" s="700" t="str">
        <f t="shared" si="20"/>
        <v>gal</v>
      </c>
      <c r="S33" s="703">
        <f t="shared" si="21"/>
        <v>0</v>
      </c>
      <c r="T33" s="713"/>
      <c r="U33" s="575" t="s">
        <v>118</v>
      </c>
      <c r="V33" s="575" t="s">
        <v>119</v>
      </c>
      <c r="W33" s="576" t="s">
        <v>120</v>
      </c>
      <c r="X33" s="26"/>
      <c r="Y33" s="719" t="s">
        <v>13</v>
      </c>
      <c r="Z33" s="720" t="str">
        <f t="shared" si="22"/>
        <v>None</v>
      </c>
      <c r="AA33" s="721">
        <f>VLOOKUP(Y33,'Fertilizer Pricing'!$A$4:$N$27,14,FALSE)</f>
        <v>0</v>
      </c>
      <c r="AB33" s="722">
        <f t="shared" si="17"/>
        <v>1</v>
      </c>
      <c r="AC33" s="702">
        <v>0</v>
      </c>
      <c r="AD33" s="700">
        <f t="shared" si="18"/>
        <v>0</v>
      </c>
      <c r="AE33" s="703">
        <f t="shared" ref="AE33:AE36" si="23">(AC33*VLOOKUP(Y33,Macronutrients,10,FALSE)/AB33)*AA33</f>
        <v>0</v>
      </c>
      <c r="AF33" s="713"/>
      <c r="AG33" s="575" t="s">
        <v>118</v>
      </c>
      <c r="AH33" s="575" t="s">
        <v>119</v>
      </c>
      <c r="AI33" s="576" t="s">
        <v>120</v>
      </c>
    </row>
    <row r="34" spans="1:35" ht="18.75">
      <c r="A34" s="719" t="s">
        <v>13</v>
      </c>
      <c r="B34" s="720" t="str">
        <f t="shared" si="12"/>
        <v>None</v>
      </c>
      <c r="C34" s="721">
        <f>VLOOKUP(A34,'Fertilizer Pricing'!$A$4:$N$27,14,FALSE)</f>
        <v>0</v>
      </c>
      <c r="D34" s="722">
        <f t="shared" si="13"/>
        <v>1</v>
      </c>
      <c r="E34" s="702">
        <v>0</v>
      </c>
      <c r="F34" s="700">
        <f t="shared" si="14"/>
        <v>0</v>
      </c>
      <c r="G34" s="703">
        <f t="shared" si="15"/>
        <v>0</v>
      </c>
      <c r="H34" s="713"/>
      <c r="I34" s="724">
        <f>VLOOKUP(A31,'Fertilizer Pricing'!$A$4:$N$27,5,FALSE)*E31+VLOOKUP(A32,'Fertilizer Pricing'!$A$4:$N$27,5,FALSE)*E32+VLOOKUP(A33,'Fertilizer Pricing'!$A$4:$N$27,5,FALSE)*E33+VLOOKUP(A34,'Fertilizer Pricing'!$A$4:$N$27,5,FALSE)*E34+VLOOKUP(A35,'Fertilizer Pricing'!$A$4:$N$27,5,FALSE)*E35+VLOOKUP(A36,'Fertilizer Pricing'!$A$4:$N$27,5,FALSE)*E36+VLOOKUP(A39,'Fertilizer Pricing'!$A$31:$N$35,5,FALSE)*E39+VLOOKUP(A40,'Fertilizer Pricing'!$A$31:$N$35,5,FALSE)*E40+VLOOKUP(A41,'Fertilizer Pricing'!$A$31:$N$35,5,FALSE)*E41+VLOOKUP(A42,'Fertilizer Pricing'!$A$31:$N$35,5,FALSE)*E42</f>
        <v>2.8704000000000001</v>
      </c>
      <c r="J34" s="724">
        <f>VLOOKUP(A31,'Fertilizer Pricing'!$A$4:$N$27,7,FALSE)*E31+VLOOKUP(A32,'Fertilizer Pricing'!$A$4:$N$27,7,FALSE)*E32+VLOOKUP(A33,'Fertilizer Pricing'!$A$4:$N$27,7,FALSE)*E33+VLOOKUP(A34,'Fertilizer Pricing'!$A$4:$N$27,7,FALSE)*E34+VLOOKUP(A35,'Fertilizer Pricing'!$A$4:$N$27,7,FALSE)*E35+VLOOKUP(A36,'Fertilizer Pricing'!$A$4:$N$27,7,FALSE)*E36+VLOOKUP(A39,'Fertilizer Pricing'!$A$31:$N$35,7,FALSE)*E39+VLOOKUP(A40,'Fertilizer Pricing'!$A$31:$N$35,7,FALSE)*E40+VLOOKUP(A41,'Fertilizer Pricing'!$A$31:$N$35,7,FALSE)*E41+VLOOKUP(A42,'Fertilizer Pricing'!$A$31:$N$35,7,FALSE)*E42</f>
        <v>0</v>
      </c>
      <c r="K34" s="725">
        <f>VLOOKUP(A31,'Fertilizer Pricing'!$A$4:$N$27,6,FALSE)*E31+VLOOKUP(A32,'Fertilizer Pricing'!$A$4:$N$27,6,FALSE)*E32+VLOOKUP(A33,'Fertilizer Pricing'!$A$4:$N$27,6,FALSE)*E33+VLOOKUP(A34,'Fertilizer Pricing'!$A$4:$N$27,6,FALSE)*E34+VLOOKUP(A35,'Fertilizer Pricing'!$A$4:$N$27,6,FALSE)*E35+VLOOKUP(A36,'Fertilizer Pricing'!$A$4:$N$27,6,FALSE)*E36+VLOOKUP(A39,'Fertilizer Pricing'!$A$31:$N$35,6,FALSE)*E39+VLOOKUP(A40,'Fertilizer Pricing'!$A$31:$N$35,6,FALSE)*E40+VLOOKUP(A41,'Fertilizer Pricing'!$A$31:$N$35,6,FALSE)*E41+VLOOKUP(A42,'Fertilizer Pricing'!$A$31:$N$35,6,FALSE)*E42</f>
        <v>0</v>
      </c>
      <c r="L34" s="26"/>
      <c r="M34" s="719" t="s">
        <v>13</v>
      </c>
      <c r="N34" s="720" t="str">
        <f t="shared" si="19"/>
        <v>None</v>
      </c>
      <c r="O34" s="721">
        <f>VLOOKUP(M34,'Fertilizer Pricing'!$A$4:$N$27,14,FALSE)</f>
        <v>0</v>
      </c>
      <c r="P34" s="722">
        <f t="shared" si="16"/>
        <v>1</v>
      </c>
      <c r="Q34" s="702">
        <v>0</v>
      </c>
      <c r="R34" s="700">
        <f t="shared" si="20"/>
        <v>0</v>
      </c>
      <c r="S34" s="703">
        <f t="shared" si="21"/>
        <v>0</v>
      </c>
      <c r="T34" s="713"/>
      <c r="U34" s="724">
        <f>VLOOKUP(M31,'Fertilizer Pricing'!$A$4:$N$27,5,FALSE)*Q31+VLOOKUP(M32,'Fertilizer Pricing'!$A$4:$N$27,5,FALSE)*Q32+VLOOKUP(M33,'Fertilizer Pricing'!$A$4:$N$27,5,FALSE)*Q33+VLOOKUP(M34,'Fertilizer Pricing'!$A$4:$N$27,5,FALSE)*Q34+VLOOKUP(M35,'Fertilizer Pricing'!$A$4:$N$27,5,FALSE)*Q35+VLOOKUP(M36,'Fertilizer Pricing'!$A$4:$N$27,5,FALSE)*Q36+VLOOKUP(M39,'Fertilizer Pricing'!$A$31:$N$35,5,FALSE)*Q39+VLOOKUP(M40,'Fertilizer Pricing'!$A$31:$N$35,5,FALSE)*Q40+VLOOKUP(M41,'Fertilizer Pricing'!$A$31:$N$35,5,FALSE)*Q41+VLOOKUP(M42,'Fertilizer Pricing'!$A$31:$N$35,5,FALSE)*Q42</f>
        <v>0</v>
      </c>
      <c r="V34" s="724">
        <f>VLOOKUP(M31,'Fertilizer Pricing'!$A$4:$N$27,7,FALSE)*Q31+VLOOKUP(M32,'Fertilizer Pricing'!$A$4:$N$27,7,FALSE)*Q32+VLOOKUP(M33,'Fertilizer Pricing'!$A$4:$N$27,7,FALSE)*Q33+VLOOKUP(M34,'Fertilizer Pricing'!$A$4:$N$27,7,FALSE)*Q34+VLOOKUP(M35,'Fertilizer Pricing'!$A$4:$N$27,7,FALSE)*Q35+VLOOKUP(M36,'Fertilizer Pricing'!$A$4:$N$27,7,FALSE)*Q36+VLOOKUP(M39,'Fertilizer Pricing'!$A$31:$N$35,7,FALSE)*Q39+VLOOKUP(M40,'Fertilizer Pricing'!$A$31:$N$35,7,FALSE)*Q40+VLOOKUP(M41,'Fertilizer Pricing'!$A$31:$N$35,7,FALSE)*Q41+VLOOKUP(M42,'Fertilizer Pricing'!$A$31:$N$35,7,FALSE)*Q42</f>
        <v>0</v>
      </c>
      <c r="W34" s="725">
        <f>VLOOKUP(M31,'Fertilizer Pricing'!$A$4:$N$27,6,FALSE)*Q31+VLOOKUP(M32,'Fertilizer Pricing'!$A$4:$N$27,6,FALSE)*Q32+VLOOKUP(M33,'Fertilizer Pricing'!$A$4:$N$27,6,FALSE)*Q33+VLOOKUP(M34,'Fertilizer Pricing'!$A$4:$N$27,6,FALSE)*Q34+VLOOKUP(M35,'Fertilizer Pricing'!$A$4:$N$27,6,FALSE)*Q35+VLOOKUP(M36,'Fertilizer Pricing'!$A$4:$N$27,6,FALSE)*Q36+VLOOKUP(M39,'Fertilizer Pricing'!$A$31:$N$35,6,FALSE)*Q39+VLOOKUP(M40,'Fertilizer Pricing'!$A$31:$N$35,6,FALSE)*Q40+VLOOKUP(M41,'Fertilizer Pricing'!$A$31:$N$35,6,FALSE)*Q41+VLOOKUP(M42,'Fertilizer Pricing'!$A$31:$N$35,6,FALSE)*Q42</f>
        <v>0</v>
      </c>
      <c r="X34" s="727"/>
      <c r="Y34" s="719" t="s">
        <v>13</v>
      </c>
      <c r="Z34" s="720" t="str">
        <f t="shared" si="22"/>
        <v>None</v>
      </c>
      <c r="AA34" s="721">
        <f>VLOOKUP(Y34,'Fertilizer Pricing'!$A$4:$N$27,14,FALSE)</f>
        <v>0</v>
      </c>
      <c r="AB34" s="722">
        <f t="shared" si="17"/>
        <v>1</v>
      </c>
      <c r="AC34" s="702">
        <v>0</v>
      </c>
      <c r="AD34" s="700">
        <f t="shared" si="18"/>
        <v>0</v>
      </c>
      <c r="AE34" s="703">
        <f>(AC34*VLOOKUP(Y34,Macronutrients,10,FALSE)/AB34)*AA34</f>
        <v>0</v>
      </c>
      <c r="AF34" s="713"/>
      <c r="AG34" s="724">
        <f>VLOOKUP(Y31,'Fertilizer Pricing'!$A$4:$N$27,5,FALSE)*AC31+VLOOKUP(Y32,'Fertilizer Pricing'!$A$4:$N$27,5,FALSE)*AC32+VLOOKUP(Y33,'Fertilizer Pricing'!$A$4:$N$27,5,FALSE)*AC33+VLOOKUP(Y34,'Fertilizer Pricing'!$A$4:$N$27,5,FALSE)*AC34+VLOOKUP(Y35,'Fertilizer Pricing'!$A$4:$N$27,5,FALSE)*AC35+VLOOKUP(Y36,'Fertilizer Pricing'!$A$4:$N$27,5,FALSE)*AC36+VLOOKUP(Y39,'Fertilizer Pricing'!$A$31:$N$35,5,FALSE)*AC39+VLOOKUP(Y40,'Fertilizer Pricing'!$A$31:$N$35,5,FALSE)*AC40+VLOOKUP(Y41,'Fertilizer Pricing'!$A$31:$N$35,5,FALSE)*AC41+VLOOKUP(Y42,'Fertilizer Pricing'!$A$31:$N$35,5,FALSE)*AC42</f>
        <v>0</v>
      </c>
      <c r="AH34" s="724">
        <f>VLOOKUP(Y31,'Fertilizer Pricing'!$A$4:$N$27,7,FALSE)*AC31+VLOOKUP(Y32,'Fertilizer Pricing'!$A$4:$N$27,7,FALSE)*AC32+VLOOKUP(Y33,'Fertilizer Pricing'!$A$4:$N$27,7,FALSE)*AC33+VLOOKUP(Y34,'Fertilizer Pricing'!$A$4:$N$27,7,FALSE)*AC34+VLOOKUP(Y35,'Fertilizer Pricing'!$A$4:$N$27,7,FALSE)*AC35+VLOOKUP(Y36,'Fertilizer Pricing'!$A$4:$N$27,7,FALSE)*AC36+VLOOKUP(Y39,'Fertilizer Pricing'!$A$31:$N$35,7,FALSE)*AC39+VLOOKUP(Y40,'Fertilizer Pricing'!$A$31:$N$35,7,FALSE)*AC40+VLOOKUP(Y41,'Fertilizer Pricing'!$A$31:$N$35,7,FALSE)*AC41+VLOOKUP(Y42,'Fertilizer Pricing'!$A$31:$N$35,7,FALSE)*AC42</f>
        <v>0</v>
      </c>
      <c r="AI34" s="725">
        <f>VLOOKUP(Y31,'Fertilizer Pricing'!$A$4:$N$27,6,FALSE)*AC31+VLOOKUP(Y32,'Fertilizer Pricing'!$A$4:$N$27,6,FALSE)*AC32+VLOOKUP(Y33,'Fertilizer Pricing'!$A$4:$N$27,6,FALSE)*AC33+VLOOKUP(Y34,'Fertilizer Pricing'!$A$4:$N$27,6,FALSE)*AC34+VLOOKUP(Y35,'Fertilizer Pricing'!$A$4:$N$27,6,FALSE)*AC35+VLOOKUP(Y36,'Fertilizer Pricing'!$A$4:$N$27,6,FALSE)*AC36+VLOOKUP(Y39,'Fertilizer Pricing'!$A$31:$N$35,6,FALSE)*AC39+VLOOKUP(Y40,'Fertilizer Pricing'!$A$31:$N$35,6,FALSE)*AC40+VLOOKUP(Y41,'Fertilizer Pricing'!$A$31:$N$35,6,FALSE)*AC41+VLOOKUP(Y42,'Fertilizer Pricing'!$A$31:$N$35,6,FALSE)*AC42</f>
        <v>0</v>
      </c>
    </row>
    <row r="35" spans="1:35" ht="18.75">
      <c r="A35" s="719" t="s">
        <v>13</v>
      </c>
      <c r="B35" s="720" t="str">
        <f t="shared" si="12"/>
        <v>None</v>
      </c>
      <c r="C35" s="721">
        <f>VLOOKUP(A35,'Fertilizer Pricing'!$A$4:$N$27,14,FALSE)</f>
        <v>0</v>
      </c>
      <c r="D35" s="722">
        <f t="shared" si="13"/>
        <v>1</v>
      </c>
      <c r="E35" s="702">
        <v>0</v>
      </c>
      <c r="F35" s="700">
        <f t="shared" si="14"/>
        <v>0</v>
      </c>
      <c r="G35" s="703">
        <f t="shared" si="15"/>
        <v>0</v>
      </c>
      <c r="H35" s="713"/>
      <c r="I35" s="728"/>
      <c r="J35" s="728"/>
      <c r="K35" s="729"/>
      <c r="L35" s="727"/>
      <c r="M35" s="719" t="s">
        <v>13</v>
      </c>
      <c r="N35" s="720" t="str">
        <f t="shared" si="19"/>
        <v>None</v>
      </c>
      <c r="O35" s="721">
        <f>VLOOKUP(M35,'Fertilizer Pricing'!$A$4:$N$27,14,FALSE)</f>
        <v>0</v>
      </c>
      <c r="P35" s="722">
        <f t="shared" si="16"/>
        <v>1</v>
      </c>
      <c r="Q35" s="702">
        <v>0</v>
      </c>
      <c r="R35" s="700">
        <f t="shared" si="20"/>
        <v>0</v>
      </c>
      <c r="S35" s="703">
        <f t="shared" si="21"/>
        <v>0</v>
      </c>
      <c r="T35" s="713"/>
      <c r="U35" s="728"/>
      <c r="V35" s="728"/>
      <c r="W35" s="729"/>
      <c r="X35" s="730"/>
      <c r="Y35" s="719" t="s">
        <v>13</v>
      </c>
      <c r="Z35" s="720" t="str">
        <f t="shared" si="22"/>
        <v>None</v>
      </c>
      <c r="AA35" s="721">
        <f>VLOOKUP(Y35,'Fertilizer Pricing'!$A$4:$N$27,14,FALSE)</f>
        <v>0</v>
      </c>
      <c r="AB35" s="722">
        <f t="shared" si="17"/>
        <v>1</v>
      </c>
      <c r="AC35" s="702">
        <v>0</v>
      </c>
      <c r="AD35" s="700">
        <f t="shared" si="18"/>
        <v>0</v>
      </c>
      <c r="AE35" s="703">
        <f t="shared" si="23"/>
        <v>0</v>
      </c>
      <c r="AF35" s="713"/>
      <c r="AG35" s="728"/>
      <c r="AH35" s="728"/>
      <c r="AI35" s="729"/>
    </row>
    <row r="36" spans="1:35" ht="18.75">
      <c r="A36" s="719" t="s">
        <v>13</v>
      </c>
      <c r="B36" s="720" t="str">
        <f t="shared" si="12"/>
        <v>None</v>
      </c>
      <c r="C36" s="721">
        <f>VLOOKUP(A36,'Fertilizer Pricing'!$A$4:$N$27,14,FALSE)</f>
        <v>0</v>
      </c>
      <c r="D36" s="722">
        <f t="shared" si="13"/>
        <v>1</v>
      </c>
      <c r="E36" s="702">
        <v>0</v>
      </c>
      <c r="F36" s="700">
        <f t="shared" si="14"/>
        <v>0</v>
      </c>
      <c r="G36" s="703">
        <f t="shared" si="15"/>
        <v>0</v>
      </c>
      <c r="H36" s="713"/>
      <c r="I36" s="575" t="s">
        <v>121</v>
      </c>
      <c r="J36" s="575" t="s">
        <v>122</v>
      </c>
      <c r="K36" s="576" t="s">
        <v>123</v>
      </c>
      <c r="L36" s="736"/>
      <c r="M36" s="719" t="s">
        <v>13</v>
      </c>
      <c r="N36" s="720" t="str">
        <f t="shared" si="19"/>
        <v>None</v>
      </c>
      <c r="O36" s="721">
        <f>VLOOKUP(M36,'Fertilizer Pricing'!$A$4:$N$27,14,FALSE)</f>
        <v>0</v>
      </c>
      <c r="P36" s="722">
        <f t="shared" si="16"/>
        <v>1</v>
      </c>
      <c r="Q36" s="702">
        <v>0</v>
      </c>
      <c r="R36" s="700">
        <f t="shared" si="20"/>
        <v>0</v>
      </c>
      <c r="S36" s="703">
        <f t="shared" si="21"/>
        <v>0</v>
      </c>
      <c r="T36" s="713"/>
      <c r="U36" s="575" t="s">
        <v>121</v>
      </c>
      <c r="V36" s="575" t="s">
        <v>122</v>
      </c>
      <c r="W36" s="576" t="s">
        <v>123</v>
      </c>
      <c r="X36" s="26"/>
      <c r="Y36" s="719" t="s">
        <v>13</v>
      </c>
      <c r="Z36" s="720" t="str">
        <f t="shared" si="22"/>
        <v>None</v>
      </c>
      <c r="AA36" s="721">
        <f>VLOOKUP(Y36,'Fertilizer Pricing'!$A$4:$N$27,14,FALSE)</f>
        <v>0</v>
      </c>
      <c r="AB36" s="722">
        <f t="shared" si="17"/>
        <v>1</v>
      </c>
      <c r="AC36" s="702">
        <v>0</v>
      </c>
      <c r="AD36" s="700">
        <f t="shared" si="18"/>
        <v>0</v>
      </c>
      <c r="AE36" s="703">
        <f t="shared" si="23"/>
        <v>0</v>
      </c>
      <c r="AF36" s="713"/>
      <c r="AG36" s="575" t="s">
        <v>121</v>
      </c>
      <c r="AH36" s="575" t="s">
        <v>122</v>
      </c>
      <c r="AI36" s="576" t="s">
        <v>123</v>
      </c>
    </row>
    <row r="37" spans="1:35" ht="18.75">
      <c r="A37" s="731"/>
      <c r="B37" s="703"/>
      <c r="C37" s="721"/>
      <c r="D37" s="722"/>
      <c r="E37" s="735"/>
      <c r="F37" s="700"/>
      <c r="G37" s="703"/>
      <c r="H37" s="713"/>
      <c r="I37" s="733">
        <f>VLOOKUP($A$40,'Fertilizer Pricing'!$A$31:$N$35,8,FALSE)*$E$40+VLOOKUP($A$41,'Fertilizer Pricing'!$A$31:$N$35,8,FALSE)*$E$41+VLOOKUP($A$42,'Fertilizer Pricing'!$A$31:$N$35,8,FALSE)*$E$42+VLOOKUP($A$39,'Fertilizer Pricing'!$A$31:$N$35,8,FALSE)*$E$39</f>
        <v>0</v>
      </c>
      <c r="J37" s="733">
        <f>VLOOKUP($A$40,'Fertilizer Pricing'!$A$31:$N$35,9,FALSE)*$E$40+VLOOKUP($A$41,'Fertilizer Pricing'!$A$31:$N$35,9,FALSE)*$E$41+VLOOKUP($A$42,'Fertilizer Pricing'!$A$31:$N$35,9,FALSE)*$E$42+VLOOKUP($A$39,'Fertilizer Pricing'!$A$31:$N$35,9,FALSE)*$E$39</f>
        <v>0</v>
      </c>
      <c r="K37" s="734">
        <v>0</v>
      </c>
      <c r="L37" s="26"/>
      <c r="M37" s="731"/>
      <c r="N37" s="720"/>
      <c r="O37" s="721"/>
      <c r="P37" s="722"/>
      <c r="Q37" s="735"/>
      <c r="R37" s="700"/>
      <c r="S37" s="703"/>
      <c r="T37" s="713"/>
      <c r="U37" s="733">
        <f>VLOOKUP($M40,'Fertilizer Pricing'!$A$31:$N$35,8,FALSE)*$Q40+VLOOKUP($M41,'Fertilizer Pricing'!$A$31:$N$35,8,FALSE)*$Q41+VLOOKUP($M42,'Fertilizer Pricing'!$A$31:$N$35,8,FALSE)*$Q42+VLOOKUP($M39,'Fertilizer Pricing'!$A$31:$N$35,8,FALSE)*$Q39</f>
        <v>0</v>
      </c>
      <c r="V37" s="733">
        <f>VLOOKUP($M40,'Fertilizer Pricing'!$A$31:$N$35,9,FALSE)*$Q40+VLOOKUP($M41,'Fertilizer Pricing'!$A$31:$N$35,9,FALSE)*$Q41+VLOOKUP($M42,'Fertilizer Pricing'!$A$31:$N$35,9,FALSE)*$Q42+VLOOKUP($M39,'Fertilizer Pricing'!$A$31:$N$35,9,FALSE)*$Q39</f>
        <v>0</v>
      </c>
      <c r="W37" s="734">
        <v>0</v>
      </c>
      <c r="X37" s="118"/>
      <c r="Y37" s="731"/>
      <c r="Z37" s="720"/>
      <c r="AA37" s="721"/>
      <c r="AB37" s="722"/>
      <c r="AC37" s="735"/>
      <c r="AD37" s="700"/>
      <c r="AE37" s="703"/>
      <c r="AF37" s="713"/>
      <c r="AG37" s="733">
        <f>VLOOKUP($Y40,'Fertilizer Pricing'!$A$31:$N$35,8,FALSE)*$AC40+VLOOKUP($Y41,'Fertilizer Pricing'!$A$31:$N$35,8,FALSE)*$AC41+VLOOKUP($Y42,'Fertilizer Pricing'!$A$31:$N$35,8,FALSE)*$AC42+VLOOKUP($Y39,'Fertilizer Pricing'!$A$31:$N$35,8,FALSE)*$AC39</f>
        <v>0</v>
      </c>
      <c r="AH37" s="733">
        <f>VLOOKUP($Y40,'Fertilizer Pricing'!$A$31:$N$35,9,FALSE)*$AC40+VLOOKUP($Y41,'Fertilizer Pricing'!$A$31:$N$35,9,FALSE)*$AC41+VLOOKUP($Y42,'Fertilizer Pricing'!$A$31:$N$35,9,FALSE)*$AC42+VLOOKUP($Y39,'Fertilizer Pricing'!$A$31:$N$35,9,FALSE)*$AC39</f>
        <v>0</v>
      </c>
      <c r="AI37" s="734">
        <v>0</v>
      </c>
    </row>
    <row r="38" spans="1:35" ht="18.75">
      <c r="A38" s="715" t="s">
        <v>762</v>
      </c>
      <c r="B38" s="28"/>
      <c r="C38" s="721"/>
      <c r="D38" s="28"/>
      <c r="E38" s="735"/>
      <c r="F38" s="545"/>
      <c r="G38" s="703"/>
      <c r="H38" s="713"/>
      <c r="I38" s="713"/>
      <c r="J38" s="713"/>
      <c r="K38" s="714"/>
      <c r="L38" s="727"/>
      <c r="M38" s="715" t="s">
        <v>762</v>
      </c>
      <c r="N38" s="28"/>
      <c r="O38" s="721"/>
      <c r="P38" s="28"/>
      <c r="Q38" s="735"/>
      <c r="R38" s="545"/>
      <c r="S38" s="703"/>
      <c r="T38" s="713"/>
      <c r="U38" s="713"/>
      <c r="V38" s="713"/>
      <c r="W38" s="714"/>
      <c r="X38" s="736"/>
      <c r="Y38" s="715" t="s">
        <v>762</v>
      </c>
      <c r="Z38" s="28"/>
      <c r="AA38" s="721"/>
      <c r="AB38" s="28"/>
      <c r="AC38" s="735"/>
      <c r="AD38" s="545"/>
      <c r="AE38" s="703"/>
      <c r="AF38" s="713"/>
      <c r="AG38" s="713"/>
      <c r="AH38" s="713"/>
      <c r="AI38" s="714"/>
    </row>
    <row r="39" spans="1:35" ht="18.75">
      <c r="A39" s="719" t="s">
        <v>441</v>
      </c>
      <c r="B39" s="720" t="str">
        <f>VLOOKUP(A39,Micronutrients,13,FALSE)</f>
        <v>Gallons</v>
      </c>
      <c r="C39" s="721">
        <f>VLOOKUP(A39,Micronutrients,14,FALSE)</f>
        <v>12</v>
      </c>
      <c r="D39" s="722">
        <f>VLOOKUP(A39,Micronutrients,12,FALSE)</f>
        <v>4</v>
      </c>
      <c r="E39" s="702">
        <v>0</v>
      </c>
      <c r="F39" s="700" t="str">
        <f>VLOOKUP(A39,Micronutrients,11,FALSE)</f>
        <v>qts</v>
      </c>
      <c r="G39" s="703">
        <f>(E39*VLOOKUP(A39,Micronutrients,10,FALSE)/D39)*C39</f>
        <v>0</v>
      </c>
      <c r="H39" s="713"/>
      <c r="I39" s="713"/>
      <c r="J39" s="713"/>
      <c r="K39" s="714"/>
      <c r="L39" s="727"/>
      <c r="M39" s="719" t="s">
        <v>13</v>
      </c>
      <c r="N39" s="720" t="str">
        <f>VLOOKUP($M39,Micronutrients,13,FALSE)</f>
        <v>None</v>
      </c>
      <c r="O39" s="721">
        <f>VLOOKUP($M39,Micronutrients,14,FALSE)</f>
        <v>0</v>
      </c>
      <c r="P39" s="722">
        <f>VLOOKUP(M39,Micronutrients,12,FALSE)</f>
        <v>1</v>
      </c>
      <c r="Q39" s="702">
        <v>0</v>
      </c>
      <c r="R39" s="700">
        <f>VLOOKUP($M39,Micronutrients,11,FALSE)</f>
        <v>0</v>
      </c>
      <c r="S39" s="703">
        <f>(Q39*VLOOKUP(M39,Micronutrients,10,FALSE)/P39)*O39</f>
        <v>0</v>
      </c>
      <c r="T39" s="713"/>
      <c r="U39" s="713"/>
      <c r="V39" s="713"/>
      <c r="W39" s="714"/>
      <c r="X39" s="736"/>
      <c r="Y39" s="719" t="s">
        <v>13</v>
      </c>
      <c r="Z39" s="720" t="str">
        <f>VLOOKUP($Y39,Micronutrients,13,FALSE)</f>
        <v>None</v>
      </c>
      <c r="AA39" s="721">
        <f>VLOOKUP($Y39,Micronutrients,14,FALSE)</f>
        <v>0</v>
      </c>
      <c r="AB39" s="722">
        <f>VLOOKUP(Y39,Micronutrients,12,FALSE)</f>
        <v>1</v>
      </c>
      <c r="AC39" s="702">
        <v>0</v>
      </c>
      <c r="AD39" s="700">
        <f>VLOOKUP(Y39,Micronutrients,11,FALSE)</f>
        <v>0</v>
      </c>
      <c r="AE39" s="703">
        <f>(AC39*VLOOKUP(Y39,Micronutrients,10,FALSE)/AB39)*AA39</f>
        <v>0</v>
      </c>
      <c r="AF39" s="713"/>
      <c r="AG39" s="713"/>
      <c r="AH39" s="713"/>
      <c r="AI39" s="714"/>
    </row>
    <row r="40" spans="1:35" ht="18.75">
      <c r="A40" s="719" t="s">
        <v>13</v>
      </c>
      <c r="B40" s="720" t="str">
        <f>VLOOKUP($A40,Micronutrients,13,FALSE)</f>
        <v>None</v>
      </c>
      <c r="C40" s="721">
        <f>VLOOKUP($A40,Micronutrients,14,FALSE)</f>
        <v>0</v>
      </c>
      <c r="D40" s="722">
        <f>VLOOKUP($A40,Micronutrients,12,FALSE)</f>
        <v>1</v>
      </c>
      <c r="E40" s="702">
        <v>0</v>
      </c>
      <c r="F40" s="700">
        <f>VLOOKUP($A40,Micronutrients,11,FALSE)</f>
        <v>0</v>
      </c>
      <c r="G40" s="703">
        <f>(E40*VLOOKUP(A40,Micronutrients,10,FALSE)/D40)*C40</f>
        <v>0</v>
      </c>
      <c r="H40" s="713"/>
      <c r="I40" s="713"/>
      <c r="J40" s="713"/>
      <c r="K40" s="714"/>
      <c r="L40" s="26"/>
      <c r="M40" s="719" t="s">
        <v>13</v>
      </c>
      <c r="N40" s="720" t="str">
        <f>VLOOKUP($M40,Micronutrients,13,FALSE)</f>
        <v>None</v>
      </c>
      <c r="O40" s="721">
        <f>VLOOKUP($M40,Micronutrients,14,FALSE)</f>
        <v>0</v>
      </c>
      <c r="P40" s="722">
        <f>VLOOKUP(M40,Micronutrients,12,FALSE)</f>
        <v>1</v>
      </c>
      <c r="Q40" s="702">
        <v>0</v>
      </c>
      <c r="R40" s="700">
        <f>VLOOKUP($M40,Micronutrients,11,FALSE)</f>
        <v>0</v>
      </c>
      <c r="S40" s="703">
        <f>(Q40*VLOOKUP(M40,Micronutrients,10,FALSE)/P40)*O40</f>
        <v>0</v>
      </c>
      <c r="T40" s="713"/>
      <c r="U40" s="713"/>
      <c r="V40" s="713"/>
      <c r="W40" s="714"/>
      <c r="X40" s="736"/>
      <c r="Y40" s="719" t="s">
        <v>13</v>
      </c>
      <c r="Z40" s="720" t="str">
        <f>VLOOKUP($Y40,Micronutrients,13,FALSE)</f>
        <v>None</v>
      </c>
      <c r="AA40" s="721">
        <f>VLOOKUP($Y40,Micronutrients,14,FALSE)</f>
        <v>0</v>
      </c>
      <c r="AB40" s="722">
        <f>VLOOKUP(Y40,Micronutrients,12,FALSE)</f>
        <v>1</v>
      </c>
      <c r="AC40" s="702">
        <v>0</v>
      </c>
      <c r="AD40" s="700">
        <f>VLOOKUP(Y40,Micronutrients,11,FALSE)</f>
        <v>0</v>
      </c>
      <c r="AE40" s="703">
        <f>(AC40*VLOOKUP(Y40,Micronutrients,10,FALSE)/AB40)*AA40</f>
        <v>0</v>
      </c>
      <c r="AF40" s="713"/>
      <c r="AG40" s="713"/>
      <c r="AH40" s="713"/>
      <c r="AI40" s="714"/>
    </row>
    <row r="41" spans="1:35" ht="18.75">
      <c r="A41" s="719" t="s">
        <v>13</v>
      </c>
      <c r="B41" s="720" t="str">
        <f>VLOOKUP($A41,Micronutrients,13,FALSE)</f>
        <v>None</v>
      </c>
      <c r="C41" s="721">
        <f>VLOOKUP($A41,Micronutrients,14,FALSE)</f>
        <v>0</v>
      </c>
      <c r="D41" s="722">
        <f>VLOOKUP($A41,Micronutrients,12,FALSE)</f>
        <v>1</v>
      </c>
      <c r="E41" s="702">
        <v>0</v>
      </c>
      <c r="F41" s="700">
        <f>VLOOKUP($A41,Micronutrients,11,FALSE)</f>
        <v>0</v>
      </c>
      <c r="G41" s="703">
        <f>(E41*VLOOKUP(A41,Micronutrients,10,FALSE)/D41)*C41</f>
        <v>0</v>
      </c>
      <c r="H41" s="713"/>
      <c r="I41" s="713"/>
      <c r="J41" s="713"/>
      <c r="K41" s="714"/>
      <c r="L41" s="118"/>
      <c r="M41" s="719" t="s">
        <v>13</v>
      </c>
      <c r="N41" s="720" t="str">
        <f>VLOOKUP($M41,Micronutrients,13,FALSE)</f>
        <v>None</v>
      </c>
      <c r="O41" s="721">
        <f>VLOOKUP($M41,Micronutrients,14,FALSE)</f>
        <v>0</v>
      </c>
      <c r="P41" s="722">
        <f>VLOOKUP(M41,Micronutrients,12,FALSE)</f>
        <v>1</v>
      </c>
      <c r="Q41" s="702">
        <v>0</v>
      </c>
      <c r="R41" s="700">
        <f>VLOOKUP($M41,Micronutrients,11,FALSE)</f>
        <v>0</v>
      </c>
      <c r="S41" s="703">
        <f>(Q41*VLOOKUP(M41,Micronutrients,10,FALSE)/P41)*O41</f>
        <v>0</v>
      </c>
      <c r="T41" s="713"/>
      <c r="U41" s="713"/>
      <c r="V41" s="713"/>
      <c r="W41" s="714"/>
      <c r="X41" s="736"/>
      <c r="Y41" s="719" t="s">
        <v>13</v>
      </c>
      <c r="Z41" s="720" t="str">
        <f>VLOOKUP($Y41,Micronutrients,13,FALSE)</f>
        <v>None</v>
      </c>
      <c r="AA41" s="721">
        <f>VLOOKUP($Y41,Micronutrients,14,FALSE)</f>
        <v>0</v>
      </c>
      <c r="AB41" s="722">
        <f>VLOOKUP(Y41,Micronutrients,12,FALSE)</f>
        <v>1</v>
      </c>
      <c r="AC41" s="702">
        <v>0</v>
      </c>
      <c r="AD41" s="700">
        <f>VLOOKUP(Y41,Micronutrients,11,FALSE)</f>
        <v>0</v>
      </c>
      <c r="AE41" s="703">
        <f>(AC41*VLOOKUP(Y41,Micronutrients,10,FALSE)/AB41)*AA41</f>
        <v>0</v>
      </c>
      <c r="AF41" s="713"/>
      <c r="AG41" s="713"/>
      <c r="AH41" s="713"/>
      <c r="AI41" s="714"/>
    </row>
    <row r="42" spans="1:35" ht="18.75">
      <c r="A42" s="719" t="s">
        <v>13</v>
      </c>
      <c r="B42" s="720" t="str">
        <f>VLOOKUP($A42,Micronutrients,13,FALSE)</f>
        <v>None</v>
      </c>
      <c r="C42" s="721">
        <f>VLOOKUP($A42,Micronutrients,14,FALSE)</f>
        <v>0</v>
      </c>
      <c r="D42" s="722">
        <f>VLOOKUP($A42,Micronutrients,12,FALSE)</f>
        <v>1</v>
      </c>
      <c r="E42" s="702">
        <v>0</v>
      </c>
      <c r="F42" s="700">
        <f>VLOOKUP($A42,Micronutrients,11,FALSE)</f>
        <v>0</v>
      </c>
      <c r="G42" s="703">
        <f>(E42*VLOOKUP(A42,Micronutrients,10,FALSE)/D42)*C42</f>
        <v>0</v>
      </c>
      <c r="H42" s="713"/>
      <c r="I42" s="713"/>
      <c r="J42" s="713"/>
      <c r="K42" s="714"/>
      <c r="L42" s="736"/>
      <c r="M42" s="719" t="s">
        <v>13</v>
      </c>
      <c r="N42" s="720" t="str">
        <f>VLOOKUP($M42,Micronutrients,13,FALSE)</f>
        <v>None</v>
      </c>
      <c r="O42" s="721">
        <f>VLOOKUP($M42,Micronutrients,14,FALSE)</f>
        <v>0</v>
      </c>
      <c r="P42" s="722">
        <f>VLOOKUP(M42,Micronutrients,12,FALSE)</f>
        <v>1</v>
      </c>
      <c r="Q42" s="702">
        <v>0</v>
      </c>
      <c r="R42" s="700">
        <f>VLOOKUP($M42,Micronutrients,11,FALSE)</f>
        <v>0</v>
      </c>
      <c r="S42" s="703">
        <f>(Q42*VLOOKUP(M42,Micronutrients,10,FALSE)/P42)*O42</f>
        <v>0</v>
      </c>
      <c r="T42" s="713"/>
      <c r="U42" s="713"/>
      <c r="V42" s="713"/>
      <c r="W42" s="714"/>
      <c r="X42" s="736"/>
      <c r="Y42" s="719" t="s">
        <v>13</v>
      </c>
      <c r="Z42" s="720" t="str">
        <f>VLOOKUP($Y42,Micronutrients,13,FALSE)</f>
        <v>None</v>
      </c>
      <c r="AA42" s="721">
        <f>VLOOKUP($Y42,Micronutrients,14,FALSE)</f>
        <v>0</v>
      </c>
      <c r="AB42" s="722">
        <f>VLOOKUP(Y42,Micronutrients,12,FALSE)</f>
        <v>1</v>
      </c>
      <c r="AC42" s="702">
        <v>0</v>
      </c>
      <c r="AD42" s="700">
        <f>VLOOKUP(Y42,Micronutrients,11,FALSE)</f>
        <v>0</v>
      </c>
      <c r="AE42" s="703">
        <f>(AC42*VLOOKUP(Y42,Micronutrients,10,FALSE)/AB42)*AA42</f>
        <v>0</v>
      </c>
      <c r="AF42" s="713"/>
      <c r="AG42" s="713"/>
      <c r="AH42" s="713"/>
      <c r="AI42" s="714"/>
    </row>
    <row r="43" spans="1:35" ht="18.75">
      <c r="A43" s="731"/>
      <c r="B43" s="28"/>
      <c r="C43" s="721"/>
      <c r="D43" s="28"/>
      <c r="E43" s="735"/>
      <c r="F43" s="545"/>
      <c r="G43" s="703"/>
      <c r="H43" s="713"/>
      <c r="I43" s="713"/>
      <c r="J43" s="713"/>
      <c r="K43" s="714"/>
      <c r="L43" s="736"/>
      <c r="M43" s="731"/>
      <c r="N43" s="28"/>
      <c r="O43" s="721"/>
      <c r="P43" s="28"/>
      <c r="Q43" s="735"/>
      <c r="R43" s="545"/>
      <c r="S43" s="703"/>
      <c r="T43" s="713"/>
      <c r="U43" s="713"/>
      <c r="V43" s="713"/>
      <c r="W43" s="714"/>
      <c r="X43" s="736"/>
      <c r="Y43" s="731"/>
      <c r="Z43" s="28"/>
      <c r="AA43" s="721"/>
      <c r="AB43" s="28"/>
      <c r="AC43" s="735"/>
      <c r="AD43" s="545"/>
      <c r="AE43" s="703"/>
      <c r="AF43" s="713"/>
      <c r="AG43" s="713"/>
      <c r="AH43" s="713"/>
      <c r="AI43" s="714"/>
    </row>
    <row r="44" spans="1:35" ht="18.75">
      <c r="A44" s="715" t="s">
        <v>764</v>
      </c>
      <c r="B44" s="737"/>
      <c r="C44" s="738"/>
      <c r="D44" s="737"/>
      <c r="E44" s="739"/>
      <c r="F44" s="741"/>
      <c r="G44" s="741"/>
      <c r="H44" s="713"/>
      <c r="I44" s="713"/>
      <c r="J44" s="713"/>
      <c r="K44" s="714"/>
      <c r="L44" s="26"/>
      <c r="M44" s="715" t="s">
        <v>764</v>
      </c>
      <c r="N44" s="737"/>
      <c r="O44" s="738"/>
      <c r="P44" s="737"/>
      <c r="Q44" s="739"/>
      <c r="R44" s="741"/>
      <c r="S44" s="741"/>
      <c r="T44" s="713"/>
      <c r="U44" s="713"/>
      <c r="V44" s="713"/>
      <c r="W44" s="714"/>
      <c r="X44" s="736"/>
      <c r="Y44" s="715" t="s">
        <v>764</v>
      </c>
      <c r="Z44" s="737"/>
      <c r="AA44" s="738"/>
      <c r="AB44" s="737"/>
      <c r="AC44" s="739"/>
      <c r="AD44" s="741"/>
      <c r="AE44" s="741"/>
      <c r="AF44" s="713"/>
      <c r="AG44" s="713"/>
      <c r="AH44" s="713"/>
      <c r="AI44" s="714"/>
    </row>
    <row r="45" spans="1:35" ht="18.75">
      <c r="A45" s="740" t="s">
        <v>13</v>
      </c>
      <c r="B45" s="720" t="str">
        <f>VLOOKUP(A45,NitrogenStabilizers,13,FALSE)</f>
        <v>None</v>
      </c>
      <c r="C45" s="721">
        <f>VLOOKUP(A45,NitrogenStabilizers,14,FALSE)</f>
        <v>0</v>
      </c>
      <c r="D45" s="722">
        <f>VLOOKUP(A45,NitrogenStabilizers,12,FALSE)</f>
        <v>1</v>
      </c>
      <c r="E45" s="702">
        <v>0</v>
      </c>
      <c r="F45" s="700">
        <f>VLOOKUP(A45,NitrogenStabilizers,11,FALSE)</f>
        <v>0</v>
      </c>
      <c r="G45" s="703">
        <f>(E45*VLOOKUP(A45,NitrogenStabilizers,10,FALSE)/D45)*C45</f>
        <v>0</v>
      </c>
      <c r="H45" s="713"/>
      <c r="I45" s="713"/>
      <c r="J45" s="713"/>
      <c r="K45" s="714"/>
      <c r="L45" s="727"/>
      <c r="M45" s="740" t="s">
        <v>13</v>
      </c>
      <c r="N45" s="720" t="str">
        <f>VLOOKUP(M45,NitrogenStabilizers,13,FALSE)</f>
        <v>None</v>
      </c>
      <c r="O45" s="721">
        <f>VLOOKUP(M45,NitrogenStabilizers,14,FALSE)</f>
        <v>0</v>
      </c>
      <c r="P45" s="722">
        <f>VLOOKUP(M45,NitrogenStabilizers,12,FALSE)</f>
        <v>1</v>
      </c>
      <c r="Q45" s="702">
        <v>0</v>
      </c>
      <c r="R45" s="700">
        <f>VLOOKUP(M45,NitrogenStabilizers,11,FALSE)</f>
        <v>0</v>
      </c>
      <c r="S45" s="703">
        <f>(Q45*VLOOKUP(M45,NitrogenStabilizers,10,FALSE)/P45)*O45</f>
        <v>0</v>
      </c>
      <c r="T45" s="713"/>
      <c r="U45" s="713"/>
      <c r="V45" s="713"/>
      <c r="W45" s="714"/>
      <c r="X45" s="736"/>
      <c r="Y45" s="740" t="s">
        <v>13</v>
      </c>
      <c r="Z45" s="720" t="str">
        <f>VLOOKUP(Y45,NitrogenStabilizers,13,FALSE)</f>
        <v>None</v>
      </c>
      <c r="AA45" s="721">
        <f>VLOOKUP(Y45,NitrogenStabilizers,14,FALSE)</f>
        <v>0</v>
      </c>
      <c r="AB45" s="722">
        <f>VLOOKUP(Y45,NitrogenStabilizers,12,FALSE)</f>
        <v>1</v>
      </c>
      <c r="AC45" s="702">
        <v>0</v>
      </c>
      <c r="AD45" s="700">
        <f>VLOOKUP(Y45,NitrogenStabilizers,11,FALSE)</f>
        <v>0</v>
      </c>
      <c r="AE45" s="703">
        <f>(AC45*VLOOKUP(Y45,NitrogenStabilizers,10,FALSE)/AB45)*AA45</f>
        <v>0</v>
      </c>
      <c r="AF45" s="713"/>
      <c r="AG45" s="713"/>
      <c r="AH45" s="713"/>
      <c r="AI45" s="714"/>
    </row>
    <row r="46" spans="1:35" ht="18.75">
      <c r="A46" s="740" t="s">
        <v>13</v>
      </c>
      <c r="B46" s="720" t="str">
        <f>VLOOKUP(A46,NitrogenStabilizers,13,FALSE)</f>
        <v>None</v>
      </c>
      <c r="C46" s="721">
        <f>VLOOKUP(A46,NitrogenStabilizers,14,FALSE)</f>
        <v>0</v>
      </c>
      <c r="D46" s="722">
        <f>VLOOKUP(A46,NitrogenStabilizers,12,FALSE)</f>
        <v>1</v>
      </c>
      <c r="E46" s="702">
        <v>0</v>
      </c>
      <c r="F46" s="700">
        <f>VLOOKUP(A46,NitrogenStabilizers,11,FALSE)</f>
        <v>0</v>
      </c>
      <c r="G46" s="703">
        <f>(E46*VLOOKUP(A46,NitrogenStabilizers,10,FALSE)/D46)*C46</f>
        <v>0</v>
      </c>
      <c r="H46" s="713"/>
      <c r="I46" s="713"/>
      <c r="J46" s="713"/>
      <c r="K46" s="742" t="s">
        <v>439</v>
      </c>
      <c r="L46" s="727"/>
      <c r="M46" s="740" t="s">
        <v>13</v>
      </c>
      <c r="N46" s="720" t="str">
        <f>VLOOKUP(M46,NitrogenStabilizers,13,FALSE)</f>
        <v>None</v>
      </c>
      <c r="O46" s="721">
        <f>VLOOKUP(M46,NitrogenStabilizers,14,FALSE)</f>
        <v>0</v>
      </c>
      <c r="P46" s="722">
        <f>VLOOKUP(M46,NitrogenStabilizers,12,FALSE)</f>
        <v>1</v>
      </c>
      <c r="Q46" s="702">
        <v>0</v>
      </c>
      <c r="R46" s="700">
        <f>VLOOKUP(M46,NitrogenStabilizers,11,FALSE)</f>
        <v>0</v>
      </c>
      <c r="S46" s="703">
        <f>(Q46*VLOOKUP(M46,NitrogenStabilizers,10,FALSE)/P46)*O46</f>
        <v>0</v>
      </c>
      <c r="T46" s="713"/>
      <c r="U46" s="713"/>
      <c r="V46" s="713"/>
      <c r="W46" s="742" t="s">
        <v>439</v>
      </c>
      <c r="X46" s="736"/>
      <c r="Y46" s="740" t="s">
        <v>13</v>
      </c>
      <c r="Z46" s="720" t="str">
        <f>VLOOKUP(Y46,NitrogenStabilizers,13,FALSE)</f>
        <v>None</v>
      </c>
      <c r="AA46" s="721">
        <f>VLOOKUP(Y46,NitrogenStabilizers,14,FALSE)</f>
        <v>0</v>
      </c>
      <c r="AB46" s="722">
        <f>VLOOKUP(Y46,NitrogenStabilizers,12,FALSE)</f>
        <v>1</v>
      </c>
      <c r="AC46" s="702">
        <v>0</v>
      </c>
      <c r="AD46" s="700">
        <f>VLOOKUP(Y46,NitrogenStabilizers,11,FALSE)</f>
        <v>0</v>
      </c>
      <c r="AE46" s="703">
        <f>(AC46*VLOOKUP(Y46,NitrogenStabilizers,10,FALSE)/AB46)*AA46</f>
        <v>0</v>
      </c>
      <c r="AF46" s="713"/>
      <c r="AG46" s="713"/>
      <c r="AH46" s="713"/>
      <c r="AI46" s="742" t="s">
        <v>439</v>
      </c>
    </row>
    <row r="47" spans="1:35" ht="19.5" thickBot="1">
      <c r="A47" s="744" t="s">
        <v>150</v>
      </c>
      <c r="B47" s="753"/>
      <c r="C47" s="745"/>
      <c r="D47" s="745"/>
      <c r="E47" s="746"/>
      <c r="F47" s="745"/>
      <c r="G47" s="747">
        <f>SUM(G31:G46)</f>
        <v>25.634549999999994</v>
      </c>
      <c r="H47" s="713"/>
      <c r="I47" s="713"/>
      <c r="J47" s="713"/>
      <c r="K47" s="742" t="s">
        <v>440</v>
      </c>
      <c r="L47" s="727"/>
      <c r="M47" s="744" t="s">
        <v>150</v>
      </c>
      <c r="N47" s="753"/>
      <c r="O47" s="745"/>
      <c r="P47" s="753"/>
      <c r="Q47" s="746"/>
      <c r="R47" s="745"/>
      <c r="S47" s="747">
        <f>SUM(S31:S46)</f>
        <v>0</v>
      </c>
      <c r="T47" s="713"/>
      <c r="U47" s="713"/>
      <c r="V47" s="713"/>
      <c r="W47" s="742" t="s">
        <v>440</v>
      </c>
      <c r="X47" s="736"/>
      <c r="Y47" s="744" t="s">
        <v>150</v>
      </c>
      <c r="Z47" s="745"/>
      <c r="AA47" s="745"/>
      <c r="AB47" s="745"/>
      <c r="AC47" s="746"/>
      <c r="AD47" s="745"/>
      <c r="AE47" s="747">
        <f>SUM(AE31:AE46)</f>
        <v>0</v>
      </c>
      <c r="AF47" s="713"/>
      <c r="AG47" s="713"/>
      <c r="AH47" s="713"/>
      <c r="AI47" s="742" t="s">
        <v>440</v>
      </c>
    </row>
    <row r="48" spans="1:35" ht="16.149999999999999" customHeight="1" thickTop="1">
      <c r="A48" s="344"/>
      <c r="B48" s="754"/>
      <c r="C48" s="748"/>
      <c r="D48" s="748"/>
      <c r="E48" s="748"/>
      <c r="F48" s="748"/>
      <c r="G48" s="749"/>
      <c r="H48" s="713"/>
      <c r="I48" s="713"/>
      <c r="J48" s="713"/>
      <c r="K48" s="707" t="s">
        <v>438</v>
      </c>
      <c r="L48" s="909"/>
      <c r="M48" s="344"/>
      <c r="N48" s="748"/>
      <c r="O48" s="748"/>
      <c r="P48" s="748"/>
      <c r="Q48" s="748"/>
      <c r="R48" s="748"/>
      <c r="S48" s="749"/>
      <c r="T48" s="713"/>
      <c r="U48" s="713"/>
      <c r="V48" s="713"/>
      <c r="W48" s="707" t="s">
        <v>438</v>
      </c>
      <c r="X48" s="909"/>
      <c r="Y48" s="344"/>
      <c r="Z48" s="748"/>
      <c r="AA48" s="748"/>
      <c r="AB48" s="748"/>
      <c r="AC48" s="748"/>
      <c r="AD48" s="748"/>
      <c r="AE48" s="749"/>
      <c r="AF48" s="713"/>
      <c r="AG48" s="713"/>
      <c r="AH48" s="713"/>
      <c r="AI48" s="707" t="s">
        <v>438</v>
      </c>
    </row>
    <row r="49" spans="1:35" ht="16.149999999999999" customHeight="1" thickBot="1">
      <c r="A49" s="750"/>
      <c r="B49" s="736"/>
      <c r="C49" s="713"/>
      <c r="D49" s="713"/>
      <c r="E49" s="713"/>
      <c r="F49" s="713"/>
      <c r="G49" s="713"/>
      <c r="H49" s="713"/>
      <c r="I49" s="713"/>
      <c r="J49" s="713"/>
      <c r="K49" s="751"/>
      <c r="L49" s="909"/>
      <c r="M49" s="750"/>
      <c r="N49" s="713"/>
      <c r="O49" s="713"/>
      <c r="P49" s="713"/>
      <c r="Q49" s="713"/>
      <c r="R49" s="713"/>
      <c r="S49" s="713"/>
      <c r="T49" s="713"/>
      <c r="U49" s="713"/>
      <c r="V49" s="713"/>
      <c r="W49" s="751"/>
      <c r="X49" s="909"/>
      <c r="Y49" s="750"/>
      <c r="Z49" s="713"/>
      <c r="AA49" s="713"/>
      <c r="AB49" s="713"/>
      <c r="AC49" s="713"/>
      <c r="AD49" s="713"/>
      <c r="AE49" s="713"/>
      <c r="AF49" s="713"/>
      <c r="AG49" s="713"/>
      <c r="AH49" s="713"/>
      <c r="AI49" s="751"/>
    </row>
    <row r="50" spans="1:35" ht="16.5" customHeight="1" thickBot="1">
      <c r="A50" s="910" t="s">
        <v>148</v>
      </c>
      <c r="B50" s="911"/>
      <c r="C50" s="911"/>
      <c r="D50" s="911"/>
      <c r="E50" s="911"/>
      <c r="F50" s="911"/>
      <c r="G50" s="911"/>
      <c r="H50" s="911"/>
      <c r="I50" s="911"/>
      <c r="J50" s="911"/>
      <c r="K50" s="912"/>
      <c r="L50" s="118"/>
      <c r="M50" s="910" t="s">
        <v>148</v>
      </c>
      <c r="N50" s="911"/>
      <c r="O50" s="911"/>
      <c r="P50" s="911"/>
      <c r="Q50" s="911"/>
      <c r="R50" s="911"/>
      <c r="S50" s="911"/>
      <c r="T50" s="911"/>
      <c r="U50" s="911"/>
      <c r="V50" s="911"/>
      <c r="W50" s="912"/>
      <c r="X50" s="755"/>
      <c r="Y50" s="910" t="s">
        <v>148</v>
      </c>
      <c r="Z50" s="911"/>
      <c r="AA50" s="911"/>
      <c r="AB50" s="911"/>
      <c r="AC50" s="911"/>
      <c r="AD50" s="911"/>
      <c r="AE50" s="911"/>
      <c r="AF50" s="911"/>
      <c r="AG50" s="911"/>
      <c r="AH50" s="911"/>
      <c r="AI50" s="912"/>
    </row>
    <row r="51" spans="1:35" ht="56.25">
      <c r="A51" s="709" t="s">
        <v>147</v>
      </c>
      <c r="B51" s="710" t="s">
        <v>125</v>
      </c>
      <c r="C51" s="711" t="s">
        <v>126</v>
      </c>
      <c r="D51" s="712" t="s">
        <v>12</v>
      </c>
      <c r="E51" s="712" t="s">
        <v>127</v>
      </c>
      <c r="F51" s="710" t="s">
        <v>11</v>
      </c>
      <c r="G51" s="712" t="s">
        <v>128</v>
      </c>
      <c r="H51" s="713"/>
      <c r="I51" s="713"/>
      <c r="J51" s="713"/>
      <c r="K51" s="714"/>
      <c r="L51" s="559"/>
      <c r="M51" s="709" t="s">
        <v>147</v>
      </c>
      <c r="N51" s="710" t="s">
        <v>125</v>
      </c>
      <c r="O51" s="711" t="s">
        <v>126</v>
      </c>
      <c r="P51" s="712" t="s">
        <v>12</v>
      </c>
      <c r="Q51" s="712" t="s">
        <v>127</v>
      </c>
      <c r="R51" s="710" t="s">
        <v>11</v>
      </c>
      <c r="S51" s="712" t="s">
        <v>128</v>
      </c>
      <c r="T51" s="713"/>
      <c r="U51" s="713"/>
      <c r="V51" s="713"/>
      <c r="W51" s="714"/>
      <c r="X51" s="713"/>
      <c r="Y51" s="709" t="s">
        <v>147</v>
      </c>
      <c r="Z51" s="710" t="s">
        <v>125</v>
      </c>
      <c r="AA51" s="711" t="s">
        <v>126</v>
      </c>
      <c r="AB51" s="712" t="s">
        <v>12</v>
      </c>
      <c r="AC51" s="712" t="s">
        <v>127</v>
      </c>
      <c r="AD51" s="710" t="s">
        <v>11</v>
      </c>
      <c r="AE51" s="712" t="s">
        <v>128</v>
      </c>
      <c r="AF51" s="713"/>
      <c r="AG51" s="713"/>
      <c r="AH51" s="713"/>
      <c r="AI51" s="714"/>
    </row>
    <row r="52" spans="1:35" ht="18.75">
      <c r="A52" s="715" t="s">
        <v>761</v>
      </c>
      <c r="B52" s="545"/>
      <c r="C52" s="716"/>
      <c r="D52" s="717"/>
      <c r="E52" s="70" t="s">
        <v>153</v>
      </c>
      <c r="F52" s="718"/>
      <c r="G52" s="703"/>
      <c r="H52" s="713"/>
      <c r="I52" s="575" t="s">
        <v>115</v>
      </c>
      <c r="J52" s="575" t="s">
        <v>116</v>
      </c>
      <c r="K52" s="576" t="s">
        <v>117</v>
      </c>
      <c r="L52" s="708"/>
      <c r="M52" s="715" t="s">
        <v>761</v>
      </c>
      <c r="N52" s="545"/>
      <c r="O52" s="716"/>
      <c r="P52" s="717"/>
      <c r="Q52" s="70" t="s">
        <v>153</v>
      </c>
      <c r="R52" s="718"/>
      <c r="S52" s="703"/>
      <c r="T52" s="713"/>
      <c r="U52" s="575" t="s">
        <v>115</v>
      </c>
      <c r="V52" s="575" t="s">
        <v>116</v>
      </c>
      <c r="W52" s="576" t="s">
        <v>117</v>
      </c>
      <c r="X52" s="699"/>
      <c r="Y52" s="715" t="s">
        <v>761</v>
      </c>
      <c r="Z52" s="545"/>
      <c r="AA52" s="716"/>
      <c r="AB52" s="716"/>
      <c r="AC52" s="143" t="s">
        <v>153</v>
      </c>
      <c r="AD52" s="718"/>
      <c r="AE52" s="703"/>
      <c r="AF52" s="713"/>
      <c r="AG52" s="575" t="s">
        <v>115</v>
      </c>
      <c r="AH52" s="575" t="s">
        <v>116</v>
      </c>
      <c r="AI52" s="576" t="s">
        <v>117</v>
      </c>
    </row>
    <row r="53" spans="1:35" ht="18.75">
      <c r="A53" s="719" t="s">
        <v>18</v>
      </c>
      <c r="B53" s="720" t="str">
        <f t="shared" ref="B53:B58" si="24">VLOOKUP(A53,Macronutrients,13,FALSE)</f>
        <v>Tons</v>
      </c>
      <c r="C53" s="721">
        <f>VLOOKUP(A53,'Fertilizer Pricing'!$A$4:$N$27,14,FALSE)</f>
        <v>390</v>
      </c>
      <c r="D53" s="722">
        <f t="shared" ref="D53:D58" si="25">VLOOKUP($A53,Macronutrients,12,FALSE)</f>
        <v>2000</v>
      </c>
      <c r="E53" s="702">
        <v>225</v>
      </c>
      <c r="F53" s="700" t="str">
        <f t="shared" ref="F53:F58" si="26">VLOOKUP($A53,Macronutrients,11,FALSE)</f>
        <v>lbs</v>
      </c>
      <c r="G53" s="703">
        <f t="shared" ref="G53:G58" si="27">(E53*VLOOKUP(A53,Macronutrients,10,FALSE)/D53)*C53</f>
        <v>43.875</v>
      </c>
      <c r="H53" s="713"/>
      <c r="I53" s="724">
        <f>VLOOKUP(A53,'Fertilizer Pricing'!$A$4:$N$27,2,FALSE)*E53+VLOOKUP(A54,'Fertilizer Pricing'!$A$4:$N$27,2,FALSE)*E54+VLOOKUP(A55,'Fertilizer Pricing'!$A$4:$N$27,2,FALSE)*E55+VLOOKUP(A56,'Fertilizer Pricing'!$A$4:$N$27,2,FALSE)*E56+VLOOKUP(A57,'Fertilizer Pricing'!$A$4:$N$27,2,FALSE)*E57+VLOOKUP(A58,'Fertilizer Pricing'!$A$4:$N$27,2,FALSE)*E58+VLOOKUP(A61,'Fertilizer Pricing'!$A$31:$N$35,2,FALSE)*E61+VLOOKUP(A62,'Fertilizer Pricing'!$A$31:$N$35,2,FALSE)*E62+VLOOKUP(A63,'Fertilizer Pricing'!$A$31:$N$35,2,FALSE)*E63+VLOOKUP(A64,'Fertilizer Pricing'!$A$31:$N$35,2,FALSE)*E64</f>
        <v>119.25</v>
      </c>
      <c r="J53" s="724">
        <f>VLOOKUP(A53,'Fertilizer Pricing'!$A$4:$N$27,3,FALSE)*E53+VLOOKUP(A54,'Fertilizer Pricing'!$A$4:$N$27,3,FALSE)*E54+VLOOKUP(A55,'Fertilizer Pricing'!$A$4:$N$27,3,FALSE)*E55+VLOOKUP(A56,'Fertilizer Pricing'!$A$4:$N$27,3,FALSE)*E56+VLOOKUP(A57,'Fertilizer Pricing'!$A$4:$N$27,3,FALSE)*E57+VLOOKUP(A58,'Fertilizer Pricing'!$A$4:$N$27,3,FALSE)*E58+VLOOKUP(A61,'Fertilizer Pricing'!$A$31:$N$35,3,FALSE)*E61+VLOOKUP(A62,'Fertilizer Pricing'!$A$31:$N$35,3,FALSE)*E62+VLOOKUP(A63,'Fertilizer Pricing'!$A$31:$N$35,3,FALSE)*E63+VLOOKUP(A64,'Fertilizer Pricing'!$A$31:$N$35,3,FALSE)*E64</f>
        <v>0</v>
      </c>
      <c r="K53" s="725">
        <f>VLOOKUP(A53,'Fertilizer Pricing'!$A$4:$N$27,4,FALSE)*E53+VLOOKUP(A54,'Fertilizer Pricing'!$A$4:$N$27,4,FALSE)*E54+VLOOKUP(A55,'Fertilizer Pricing'!$A$4:$N$27,4,FALSE)*E55+VLOOKUP(A56,'Fertilizer Pricing'!$A$4:$N$27,4,FALSE)*E56+VLOOKUP(A57,'Fertilizer Pricing'!$A$4:$N$27,4,FALSE)*E57+VLOOKUP(A58,'Fertilizer Pricing'!$A$4:$N$27,4,FALSE)*E58+VLOOKUP(A61,'Fertilizer Pricing'!$A$31:$N$35,4,FALSE)*E61+VLOOKUP(A62,'Fertilizer Pricing'!$A$31:$N$35,4,FALSE)*E62+VLOOKUP(A63,'Fertilizer Pricing'!$A$31:$N$35,4,FALSE)*E63+VLOOKUP(A64,'Fertilizer Pricing'!$A$31:$N$35,4,FALSE)*E64</f>
        <v>0</v>
      </c>
      <c r="L53" s="726"/>
      <c r="M53" s="719" t="s">
        <v>13</v>
      </c>
      <c r="N53" s="720" t="str">
        <f t="shared" ref="N53:N58" si="28">VLOOKUP(M53,Macronutrients,13,FALSE)</f>
        <v>None</v>
      </c>
      <c r="O53" s="721">
        <f>VLOOKUP(M53,'Fertilizer Pricing'!$A$4:$N$27,14,FALSE)</f>
        <v>0</v>
      </c>
      <c r="P53" s="722">
        <f t="shared" ref="P53:P58" si="29">VLOOKUP($M53,Macronutrients,12,FALSE)</f>
        <v>1</v>
      </c>
      <c r="Q53" s="702">
        <v>0</v>
      </c>
      <c r="R53" s="700">
        <f t="shared" ref="R53:R58" si="30">VLOOKUP($M53,Macronutrients,11,FALSE)</f>
        <v>0</v>
      </c>
      <c r="S53" s="703">
        <f t="shared" ref="S53:S58" si="31">(Q53*VLOOKUP(M53,Macronutrients,10,FALSE)/P53)*O53</f>
        <v>0</v>
      </c>
      <c r="T53" s="713"/>
      <c r="U53" s="724">
        <f>VLOOKUP(M53,'Fertilizer Pricing'!$A$4:$N$27,2,FALSE)*Q53+VLOOKUP(M54,'Fertilizer Pricing'!$A$4:$N$27,2,FALSE)*Q54+VLOOKUP(M55,'Fertilizer Pricing'!$A$4:$N$27,2,FALSE)*Q55+VLOOKUP(M56,'Fertilizer Pricing'!$A$4:$N$27,2,FALSE)*Q56+VLOOKUP(M57,'Fertilizer Pricing'!$A$4:$N$27,2,FALSE)*Q57+VLOOKUP(M58,'Fertilizer Pricing'!$A$4:$N$27,2,FALSE)*Q58+VLOOKUP(M61,'Fertilizer Pricing'!$A$31:$N$35,2,FALSE)*Q61+VLOOKUP(M62,'Fertilizer Pricing'!$A$31:$N$35,2,FALSE)*Q62+VLOOKUP(M63,'Fertilizer Pricing'!$A$31:$N$35,2,FALSE)*Q63+VLOOKUP(M64,'Fertilizer Pricing'!$A$31:$N$35,2,FALSE)*Q64</f>
        <v>0</v>
      </c>
      <c r="V53" s="724">
        <f>VLOOKUP(M53,'Fertilizer Pricing'!$A$4:$N$27,3,FALSE)*Q53+VLOOKUP(M54,'Fertilizer Pricing'!$A$4:$N$27,3,FALSE)*Q54+VLOOKUP(M55,'Fertilizer Pricing'!$A$4:$N$27,3,FALSE)*Q55+VLOOKUP(M56,'Fertilizer Pricing'!$A$4:$N$27,3,FALSE)*Q56+VLOOKUP(M57,'Fertilizer Pricing'!$A$4:$N$27,3,FALSE)*Q57+VLOOKUP(M58,'Fertilizer Pricing'!$A$4:$N$27,3,FALSE)*Q58+VLOOKUP(M61,'Fertilizer Pricing'!$A$31:$N$35,3,FALSE)*Q61+VLOOKUP(M62,'Fertilizer Pricing'!$A$31:$N$35,3,FALSE)*Q62+VLOOKUP(M63,'Fertilizer Pricing'!$A$31:$N$35,3,FALSE)*Q63+VLOOKUP(M64,'Fertilizer Pricing'!$A$31:$N$35,3,FALSE)*Q64</f>
        <v>0</v>
      </c>
      <c r="W53" s="725">
        <f>VLOOKUP(M53,'Fertilizer Pricing'!$A$4:$N$27,4,FALSE)*Q53+VLOOKUP(M54,'Fertilizer Pricing'!$A$4:$N$27,4,FALSE)*Q54+VLOOKUP(M55,'Fertilizer Pricing'!$A$4:$N$27,4,FALSE)*Q55+VLOOKUP(M56,'Fertilizer Pricing'!$A$4:$N$27,4,FALSE)*Q56+VLOOKUP(M57,'Fertilizer Pricing'!$A$4:$N$27,4,FALSE)*Q57+VLOOKUP(M58,'Fertilizer Pricing'!$A$4:$N$27,4,FALSE)*Q58+VLOOKUP(M61,'Fertilizer Pricing'!$A$31:$N$35,4,FALSE)*Q61+VLOOKUP(M62,'Fertilizer Pricing'!$A$31:$N$35,4,FALSE)*Q62+VLOOKUP(M63,'Fertilizer Pricing'!$A$31:$N$35,4,FALSE)*Q63+VLOOKUP(M64,'Fertilizer Pricing'!$A$31:$N$35,4,FALSE)*Q64</f>
        <v>0</v>
      </c>
      <c r="X53" s="727"/>
      <c r="Y53" s="719" t="s">
        <v>18</v>
      </c>
      <c r="Z53" s="720" t="str">
        <f>VLOOKUP(Y53,Macronutrients,13,FALSE)</f>
        <v>Tons</v>
      </c>
      <c r="AA53" s="721">
        <f>VLOOKUP(Y53,'Fertilizer Pricing'!$A$4:$N$27,14,FALSE)</f>
        <v>390</v>
      </c>
      <c r="AB53" s="722">
        <f t="shared" ref="AB53:AB58" si="32">VLOOKUP($Y53,Macronutrients,12,FALSE)</f>
        <v>2000</v>
      </c>
      <c r="AC53" s="702">
        <v>145</v>
      </c>
      <c r="AD53" s="700" t="str">
        <f t="shared" ref="AD53:AD58" si="33">VLOOKUP($Y53,Macronutrients,11,FALSE)</f>
        <v>lbs</v>
      </c>
      <c r="AE53" s="703">
        <f>(AC53*VLOOKUP(Y53,Macronutrients,10,FALSE)/AB53)*AA53</f>
        <v>28.274999999999999</v>
      </c>
      <c r="AF53" s="713"/>
      <c r="AG53" s="724">
        <f>VLOOKUP(Y53,'Fertilizer Pricing'!$A$4:$N$27,2,FALSE)*AC53+VLOOKUP(Y54,'Fertilizer Pricing'!$A$4:$N$27,2,FALSE)*AC54+VLOOKUP(Y55,'Fertilizer Pricing'!$A$4:$N$27,2,FALSE)*AC55+VLOOKUP(Y56,'Fertilizer Pricing'!$A$4:$N$27,2,FALSE)*AC56+VLOOKUP(Y57,'Fertilizer Pricing'!$A$4:$N$27,2,FALSE)*AC57+VLOOKUP(Y58,'Fertilizer Pricing'!$A$4:$N$27,2,FALSE)*AC58+VLOOKUP(Y61,'Fertilizer Pricing'!$A$31:$N$35,2,FALSE)*AC61+VLOOKUP(Y62,'Fertilizer Pricing'!$A$31:$N$35,2,FALSE)*AC62+VLOOKUP(Y63,'Fertilizer Pricing'!$A$31:$N$35,2,FALSE)*AC63+VLOOKUP(Y64,'Fertilizer Pricing'!$A$31:$N$35,2,FALSE)*AC64</f>
        <v>77.2</v>
      </c>
      <c r="AH53" s="724">
        <f>VLOOKUP(Y53,'Fertilizer Pricing'!$A$4:$N$27,3,FALSE)*AC53+VLOOKUP(Y54,'Fertilizer Pricing'!$A$4:$N$27,3,FALSE)*AC54+VLOOKUP(Y55,'Fertilizer Pricing'!$A$4:$N$27,3,FALSE)*AC55+VLOOKUP(Y56,'Fertilizer Pricing'!$A$4:$N$27,3,FALSE)*AC56+VLOOKUP(Y57,'Fertilizer Pricing'!$A$4:$N$27,3,FALSE)*AC57+VLOOKUP(Y58,'Fertilizer Pricing'!$A$4:$N$27,3,FALSE)*AC58+VLOOKUP(Y61,'Fertilizer Pricing'!$A$31:$N$35,3,FALSE)*AC61+VLOOKUP(Y62,'Fertilizer Pricing'!$A$31:$N$35,3,FALSE)*AC62+VLOOKUP(Y63,'Fertilizer Pricing'!$A$31:$N$35,3,FALSE)*AC63+VLOOKUP(Y64,'Fertilizer Pricing'!$A$31:$N$35,3,FALSE)*AC64</f>
        <v>0</v>
      </c>
      <c r="AI53" s="725">
        <f>VLOOKUP(Y53,'Fertilizer Pricing'!$A$4:$N$27,4,FALSE)*AC53+VLOOKUP(Y54,'Fertilizer Pricing'!$A$4:$N$27,4,FALSE)*AC54+VLOOKUP(Y55,'Fertilizer Pricing'!$A$4:$N$27,4,FALSE)*AC55+VLOOKUP(Y56,'Fertilizer Pricing'!$A$4:$N$27,4,FALSE)*AC56+VLOOKUP(Y57,'Fertilizer Pricing'!$A$4:$N$27,4,FALSE)*AC57+VLOOKUP(Y58,'Fertilizer Pricing'!$A$4:$N$27,4,FALSE)*AC58+VLOOKUP(Y61,'Fertilizer Pricing'!$A$31:$N$35,4,FALSE)*AC61+VLOOKUP(Y62,'Fertilizer Pricing'!$A$31:$N$35,4,FALSE)*AC62+VLOOKUP(Y63,'Fertilizer Pricing'!$A$31:$N$35,4,FALSE)*AC63+VLOOKUP(Y64,'Fertilizer Pricing'!$A$31:$N$35,4,FALSE)*AC64</f>
        <v>0</v>
      </c>
    </row>
    <row r="54" spans="1:35" ht="18.75">
      <c r="A54" s="719" t="s">
        <v>23</v>
      </c>
      <c r="B54" s="720" t="str">
        <f t="shared" si="24"/>
        <v>Tons</v>
      </c>
      <c r="C54" s="721">
        <f>VLOOKUP(A54,'Fertilizer Pricing'!$A$4:$N$27,14,FALSE)</f>
        <v>365</v>
      </c>
      <c r="D54" s="722">
        <f t="shared" si="25"/>
        <v>2000</v>
      </c>
      <c r="E54" s="702">
        <v>75</v>
      </c>
      <c r="F54" s="700" t="str">
        <f t="shared" si="26"/>
        <v>lbs</v>
      </c>
      <c r="G54" s="703">
        <f t="shared" si="27"/>
        <v>13.6875</v>
      </c>
      <c r="H54" s="713"/>
      <c r="I54" s="728"/>
      <c r="J54" s="728"/>
      <c r="K54" s="729"/>
      <c r="L54" s="726"/>
      <c r="M54" s="719" t="s">
        <v>13</v>
      </c>
      <c r="N54" s="720" t="str">
        <f t="shared" si="28"/>
        <v>None</v>
      </c>
      <c r="O54" s="721">
        <f>VLOOKUP(M54,'Fertilizer Pricing'!$A$4:$N$27,14,FALSE)</f>
        <v>0</v>
      </c>
      <c r="P54" s="722">
        <f t="shared" si="29"/>
        <v>1</v>
      </c>
      <c r="Q54" s="702">
        <v>0</v>
      </c>
      <c r="R54" s="700">
        <f t="shared" si="30"/>
        <v>0</v>
      </c>
      <c r="S54" s="703">
        <f t="shared" si="31"/>
        <v>0</v>
      </c>
      <c r="T54" s="713"/>
      <c r="U54" s="728"/>
      <c r="V54" s="728"/>
      <c r="W54" s="729"/>
      <c r="X54" s="730"/>
      <c r="Y54" s="719" t="s">
        <v>23</v>
      </c>
      <c r="Z54" s="720" t="str">
        <f t="shared" ref="Z54:Z58" si="34">VLOOKUP(Y54,Macronutrients,13,FALSE)</f>
        <v>Tons</v>
      </c>
      <c r="AA54" s="721">
        <f>VLOOKUP(Y54,'Fertilizer Pricing'!$A$4:$N$27,14,FALSE)</f>
        <v>365</v>
      </c>
      <c r="AB54" s="722">
        <f t="shared" si="32"/>
        <v>2000</v>
      </c>
      <c r="AC54" s="702">
        <v>50</v>
      </c>
      <c r="AD54" s="700" t="str">
        <f t="shared" si="33"/>
        <v>lbs</v>
      </c>
      <c r="AE54" s="703">
        <f t="shared" ref="AE54:AE58" si="35">(AC54*VLOOKUP(Y54,Macronutrients,10,FALSE)/AB54)*AA54</f>
        <v>9.125</v>
      </c>
      <c r="AF54" s="713"/>
      <c r="AG54" s="728"/>
      <c r="AH54" s="728"/>
      <c r="AI54" s="729"/>
    </row>
    <row r="55" spans="1:35" ht="18.75">
      <c r="A55" s="719" t="s">
        <v>13</v>
      </c>
      <c r="B55" s="720" t="str">
        <f t="shared" si="24"/>
        <v>None</v>
      </c>
      <c r="C55" s="721">
        <f>VLOOKUP(A55,'Fertilizer Pricing'!$A$4:$N$27,14,FALSE)</f>
        <v>0</v>
      </c>
      <c r="D55" s="722">
        <f t="shared" si="25"/>
        <v>1</v>
      </c>
      <c r="E55" s="702">
        <v>0</v>
      </c>
      <c r="F55" s="700">
        <f t="shared" si="26"/>
        <v>0</v>
      </c>
      <c r="G55" s="703">
        <f t="shared" si="27"/>
        <v>0</v>
      </c>
      <c r="H55" s="713"/>
      <c r="I55" s="575" t="s">
        <v>118</v>
      </c>
      <c r="J55" s="575" t="s">
        <v>119</v>
      </c>
      <c r="K55" s="576" t="s">
        <v>120</v>
      </c>
      <c r="L55" s="726"/>
      <c r="M55" s="719" t="s">
        <v>13</v>
      </c>
      <c r="N55" s="720" t="str">
        <f t="shared" si="28"/>
        <v>None</v>
      </c>
      <c r="O55" s="721">
        <f>VLOOKUP(M55,'Fertilizer Pricing'!$A$4:$N$27,14,FALSE)</f>
        <v>0</v>
      </c>
      <c r="P55" s="722">
        <f t="shared" si="29"/>
        <v>1</v>
      </c>
      <c r="Q55" s="702">
        <v>0</v>
      </c>
      <c r="R55" s="700">
        <f t="shared" si="30"/>
        <v>0</v>
      </c>
      <c r="S55" s="703">
        <f t="shared" si="31"/>
        <v>0</v>
      </c>
      <c r="T55" s="713"/>
      <c r="U55" s="575" t="s">
        <v>118</v>
      </c>
      <c r="V55" s="575" t="s">
        <v>119</v>
      </c>
      <c r="W55" s="576" t="s">
        <v>120</v>
      </c>
      <c r="X55" s="26"/>
      <c r="Y55" s="719" t="s">
        <v>13</v>
      </c>
      <c r="Z55" s="720" t="str">
        <f t="shared" si="34"/>
        <v>None</v>
      </c>
      <c r="AA55" s="721">
        <f>VLOOKUP(Y55,'Fertilizer Pricing'!$A$4:$N$27,14,FALSE)</f>
        <v>0</v>
      </c>
      <c r="AB55" s="722">
        <f t="shared" si="32"/>
        <v>1</v>
      </c>
      <c r="AC55" s="702">
        <v>0</v>
      </c>
      <c r="AD55" s="700">
        <f t="shared" si="33"/>
        <v>0</v>
      </c>
      <c r="AE55" s="703">
        <f t="shared" si="35"/>
        <v>0</v>
      </c>
      <c r="AF55" s="713"/>
      <c r="AG55" s="575" t="s">
        <v>118</v>
      </c>
      <c r="AH55" s="575" t="s">
        <v>119</v>
      </c>
      <c r="AI55" s="576" t="s">
        <v>120</v>
      </c>
    </row>
    <row r="56" spans="1:35" ht="18.75">
      <c r="A56" s="719" t="s">
        <v>13</v>
      </c>
      <c r="B56" s="720" t="str">
        <f t="shared" si="24"/>
        <v>None</v>
      </c>
      <c r="C56" s="721">
        <f>VLOOKUP(A56,'Fertilizer Pricing'!$A$4:$N$27,14,FALSE)</f>
        <v>0</v>
      </c>
      <c r="D56" s="722">
        <f t="shared" si="25"/>
        <v>1</v>
      </c>
      <c r="E56" s="702">
        <v>0</v>
      </c>
      <c r="F56" s="700">
        <f t="shared" si="26"/>
        <v>0</v>
      </c>
      <c r="G56" s="703">
        <f t="shared" si="27"/>
        <v>0</v>
      </c>
      <c r="H56" s="713"/>
      <c r="I56" s="724">
        <f>VLOOKUP(A53,'Fertilizer Pricing'!$A$4:$N$27,5,FALSE)*E53+VLOOKUP(A54,'Fertilizer Pricing'!$A$4:$N$27,5,FALSE)*E54+VLOOKUP(A55,'Fertilizer Pricing'!$A$4:$N$27,5,FALSE)*E55+VLOOKUP(A56,'Fertilizer Pricing'!$A$4:$N$27,5,FALSE)*E56+VLOOKUP(A57,'Fertilizer Pricing'!$A$4:$N$27,5,FALSE)*E57+VLOOKUP(A58,'Fertilizer Pricing'!$A$4:$N$27,5,FALSE)*E58+VLOOKUP(A61,'Fertilizer Pricing'!$A$31:$N$35,5,FALSE)*E61+VLOOKUP(A62,'Fertilizer Pricing'!$A$31:$N$35,5,FALSE)*E62+VLOOKUP(A63,'Fertilizer Pricing'!$A$31:$N$35,5,FALSE)*E63+VLOOKUP(A64,'Fertilizer Pricing'!$A$31:$N$35,5,FALSE)*E64</f>
        <v>18</v>
      </c>
      <c r="J56" s="724">
        <f>VLOOKUP(A53,'Fertilizer Pricing'!$A$4:$N$27,7,FALSE)*E53+VLOOKUP(A54,'Fertilizer Pricing'!$A$4:$N$27,7,FALSE)*E54+VLOOKUP(A55,'Fertilizer Pricing'!$A$4:$N$27,7,FALSE)*E55+VLOOKUP(A56,'Fertilizer Pricing'!$A$4:$N$27,7,FALSE)*E56+VLOOKUP(A57,'Fertilizer Pricing'!$A$4:$N$27,7,FALSE)*E57+VLOOKUP(A58,'Fertilizer Pricing'!$A$4:$N$27,7,FALSE)*E58+VLOOKUP(A61,'Fertilizer Pricing'!$A$31:$N$35,7,FALSE)*E61+VLOOKUP(A62,'Fertilizer Pricing'!$A$31:$N$35,7,FALSE)*E62+VLOOKUP(A63,'Fertilizer Pricing'!$A$31:$N$35,7,FALSE)*E63+VLOOKUP(A64,'Fertilizer Pricing'!$A$31:$N$35,7,FALSE)*E64</f>
        <v>0</v>
      </c>
      <c r="K56" s="725">
        <f>VLOOKUP(A53,'Fertilizer Pricing'!$A$4:$N$27,6,FALSE)*E53+VLOOKUP(A54,'Fertilizer Pricing'!$A$4:$N$27,6,FALSE)*E54+VLOOKUP(A55,'Fertilizer Pricing'!$A$4:$N$27,6,FALSE)*E55+VLOOKUP(A56,'Fertilizer Pricing'!$A$4:$N$27,6,FALSE)*E56+VLOOKUP(A57,'Fertilizer Pricing'!$A$4:$N$27,6,FALSE)*E57+VLOOKUP(A58,'Fertilizer Pricing'!$A$4:$N$27,6,FALSE)*E58+VLOOKUP(A61,'Fertilizer Pricing'!$A$31:$N$35,6,FALSE)*E61+VLOOKUP(A62,'Fertilizer Pricing'!$A$31:$N$35,6,FALSE)*E62+VLOOKUP(A63,'Fertilizer Pricing'!$A$31:$N$35,6,FALSE)*E63+VLOOKUP(A64,'Fertilizer Pricing'!$A$31:$N$35,6,FALSE)*E64</f>
        <v>0</v>
      </c>
      <c r="L56" s="726"/>
      <c r="M56" s="719" t="s">
        <v>13</v>
      </c>
      <c r="N56" s="720" t="str">
        <f t="shared" si="28"/>
        <v>None</v>
      </c>
      <c r="O56" s="721">
        <f>VLOOKUP(M56,'Fertilizer Pricing'!$A$4:$N$27,14,FALSE)</f>
        <v>0</v>
      </c>
      <c r="P56" s="722">
        <f t="shared" si="29"/>
        <v>1</v>
      </c>
      <c r="Q56" s="702">
        <v>0</v>
      </c>
      <c r="R56" s="700">
        <f t="shared" si="30"/>
        <v>0</v>
      </c>
      <c r="S56" s="703">
        <f t="shared" si="31"/>
        <v>0</v>
      </c>
      <c r="T56" s="713"/>
      <c r="U56" s="724">
        <f>VLOOKUP(M53,'Fertilizer Pricing'!$A$4:$N$27,5,FALSE)*Q53+VLOOKUP(M54,'Fertilizer Pricing'!$A$4:$N$27,5,FALSE)*Q54+VLOOKUP(M55,'Fertilizer Pricing'!$A$4:$N$27,5,FALSE)*Q55+VLOOKUP(M56,'Fertilizer Pricing'!$A$4:$N$27,5,FALSE)*Q56+VLOOKUP(M57,'Fertilizer Pricing'!$A$4:$N$27,5,FALSE)*Q57+VLOOKUP(M58,'Fertilizer Pricing'!$A$4:$N$27,5,FALSE)*Q58+VLOOKUP(M61,'Fertilizer Pricing'!$A$31:$N$35,5,FALSE)*Q61+VLOOKUP(M62,'Fertilizer Pricing'!$A$31:$N$35,5,FALSE)*Q62+VLOOKUP(M63,'Fertilizer Pricing'!$A$31:$N$35,5,FALSE)*Q63+VLOOKUP(M64,'Fertilizer Pricing'!$A$31:$N$35,5,FALSE)*Q64</f>
        <v>0</v>
      </c>
      <c r="V56" s="724">
        <f>VLOOKUP(M53,'Fertilizer Pricing'!$A$4:$N$27,7,FALSE)*Q53+VLOOKUP(M54,'Fertilizer Pricing'!$A$4:$N$27,7,FALSE)*Q54+VLOOKUP(M55,'Fertilizer Pricing'!$A$4:$N$27,7,FALSE)*Q55+VLOOKUP(M56,'Fertilizer Pricing'!$A$4:$N$27,7,FALSE)*Q56+VLOOKUP(M57,'Fertilizer Pricing'!$A$4:$N$27,7,FALSE)*Q57+VLOOKUP(M58,'Fertilizer Pricing'!$A$4:$N$27,7,FALSE)*Q58+VLOOKUP(M61,'Fertilizer Pricing'!$A$31:$N$35,7,FALSE)*Q61+VLOOKUP(M62,'Fertilizer Pricing'!$A$31:$N$35,7,FALSE)*Q62+VLOOKUP(M63,'Fertilizer Pricing'!$A$31:$N$35,7,FALSE)*Q63+VLOOKUP(M64,'Fertilizer Pricing'!$A$31:$N$35,7,FALSE)*Q64</f>
        <v>0</v>
      </c>
      <c r="W56" s="725">
        <f>VLOOKUP(M53,'Fertilizer Pricing'!$A$4:$N$27,6,FALSE)*Q53+VLOOKUP(M54,'Fertilizer Pricing'!$A$4:$N$27,6,FALSE)*Q54+VLOOKUP(M55,'Fertilizer Pricing'!$A$4:$N$27,6,FALSE)*Q55+VLOOKUP(M56,'Fertilizer Pricing'!$A$4:$N$27,6,FALSE)*Q56+VLOOKUP(M57,'Fertilizer Pricing'!$A$4:$N$27,6,FALSE)*Q57+VLOOKUP(M58,'Fertilizer Pricing'!$A$4:$N$27,6,FALSE)*Q58+VLOOKUP(M61,'Fertilizer Pricing'!$A$31:$N$35,6,FALSE)*Q61+VLOOKUP(M62,'Fertilizer Pricing'!$A$31:$N$35,6,FALSE)*Q62+VLOOKUP(M63,'Fertilizer Pricing'!$A$31:$N$35,6,FALSE)*Q63+VLOOKUP(M64,'Fertilizer Pricing'!$A$31:$N$35,6,FALSE)*Q64</f>
        <v>0</v>
      </c>
      <c r="X56" s="727"/>
      <c r="Y56" s="719" t="s">
        <v>13</v>
      </c>
      <c r="Z56" s="720" t="str">
        <f t="shared" si="34"/>
        <v>None</v>
      </c>
      <c r="AA56" s="721">
        <f>VLOOKUP(Y56,'Fertilizer Pricing'!$A$4:$N$27,14,FALSE)</f>
        <v>0</v>
      </c>
      <c r="AB56" s="722">
        <f t="shared" si="32"/>
        <v>1</v>
      </c>
      <c r="AC56" s="702">
        <v>0</v>
      </c>
      <c r="AD56" s="700">
        <f t="shared" si="33"/>
        <v>0</v>
      </c>
      <c r="AE56" s="703">
        <f t="shared" si="35"/>
        <v>0</v>
      </c>
      <c r="AF56" s="713"/>
      <c r="AG56" s="724">
        <f>VLOOKUP(Y53,'Fertilizer Pricing'!$A$4:$N$27,5,FALSE)*AC53+VLOOKUP(Y54,'Fertilizer Pricing'!$A$4:$N$27,5,FALSE)*AC54+VLOOKUP(Y55,'Fertilizer Pricing'!$A$4:$N$27,5,FALSE)*AC55+VLOOKUP(Y56,'Fertilizer Pricing'!$A$4:$N$27,5,FALSE)*AC56+VLOOKUP(Y57,'Fertilizer Pricing'!$A$4:$N$27,5,FALSE)*AC57+VLOOKUP(Y58,'Fertilizer Pricing'!$A$4:$N$27,5,FALSE)*AC58+VLOOKUP(Y61,'Fertilizer Pricing'!$A$31:$N$35,5,FALSE)*AC61+VLOOKUP(Y62,'Fertilizer Pricing'!$A$31:$N$35,5,FALSE)*AC62+VLOOKUP(Y63,'Fertilizer Pricing'!$A$31:$N$35,5,FALSE)*AC63+VLOOKUP(Y64,'Fertilizer Pricing'!$A$31:$N$35,5,FALSE)*AC64</f>
        <v>12</v>
      </c>
      <c r="AH56" s="724">
        <f>VLOOKUP(Y53,'Fertilizer Pricing'!$A$4:$N$27,7,FALSE)*AC53+VLOOKUP(Y54,'Fertilizer Pricing'!$A$4:$N$27,7,FALSE)*AC54+VLOOKUP(Y55,'Fertilizer Pricing'!$A$4:$N$27,7,FALSE)*AC55+VLOOKUP(Y56,'Fertilizer Pricing'!$A$4:$N$27,7,FALSE)*AC56+VLOOKUP(Y57,'Fertilizer Pricing'!$A$4:$N$27,7,FALSE)*AC57+VLOOKUP(Y58,'Fertilizer Pricing'!$A$4:$N$27,7,FALSE)*AC58+VLOOKUP(Y61,'Fertilizer Pricing'!$A$31:$N$35,7,FALSE)*AC61+VLOOKUP(Y62,'Fertilizer Pricing'!$A$31:$N$35,7,FALSE)*AC62+VLOOKUP(Y63,'Fertilizer Pricing'!$A$31:$N$35,7,FALSE)*AC63+VLOOKUP(Y64,'Fertilizer Pricing'!$A$31:$N$35,7,FALSE)*AC64</f>
        <v>0</v>
      </c>
      <c r="AI56" s="725">
        <f>VLOOKUP(Y53,'Fertilizer Pricing'!$A$4:$N$27,6,FALSE)*AC53+VLOOKUP(Y54,'Fertilizer Pricing'!$A$4:$N$27,6,FALSE)*AC54+VLOOKUP(Y55,'Fertilizer Pricing'!$A$4:$N$27,6,FALSE)*AC55+VLOOKUP(Y56,'Fertilizer Pricing'!$A$4:$N$27,6,FALSE)*AC56+VLOOKUP(Y57,'Fertilizer Pricing'!$A$4:$N$27,6,FALSE)*AC57+VLOOKUP(Y58,'Fertilizer Pricing'!$A$4:$N$27,6,FALSE)*AC58+VLOOKUP(Y61,'Fertilizer Pricing'!$A$31:$N$35,6,FALSE)*AC61+VLOOKUP(Y62,'Fertilizer Pricing'!$A$31:$N$35,6,FALSE)*AC62+VLOOKUP(Y63,'Fertilizer Pricing'!$A$31:$N$35,6,FALSE)*AC63+VLOOKUP(Y64,'Fertilizer Pricing'!$A$31:$N$35,6,FALSE)*AC64</f>
        <v>0</v>
      </c>
    </row>
    <row r="57" spans="1:35" ht="18.75">
      <c r="A57" s="719" t="s">
        <v>13</v>
      </c>
      <c r="B57" s="720" t="str">
        <f t="shared" si="24"/>
        <v>None</v>
      </c>
      <c r="C57" s="721">
        <f>VLOOKUP(A57,'Fertilizer Pricing'!$A$4:$N$27,14,FALSE)</f>
        <v>0</v>
      </c>
      <c r="D57" s="722">
        <f t="shared" si="25"/>
        <v>1</v>
      </c>
      <c r="E57" s="702">
        <v>0</v>
      </c>
      <c r="F57" s="700">
        <f t="shared" si="26"/>
        <v>0</v>
      </c>
      <c r="G57" s="703">
        <f t="shared" si="27"/>
        <v>0</v>
      </c>
      <c r="H57" s="713"/>
      <c r="I57" s="728"/>
      <c r="J57" s="728"/>
      <c r="K57" s="729"/>
      <c r="L57" s="726"/>
      <c r="M57" s="719" t="s">
        <v>13</v>
      </c>
      <c r="N57" s="720" t="str">
        <f t="shared" si="28"/>
        <v>None</v>
      </c>
      <c r="O57" s="721">
        <f>VLOOKUP(M57,'Fertilizer Pricing'!$A$4:$N$27,14,FALSE)</f>
        <v>0</v>
      </c>
      <c r="P57" s="722">
        <f t="shared" si="29"/>
        <v>1</v>
      </c>
      <c r="Q57" s="702">
        <v>0</v>
      </c>
      <c r="R57" s="700">
        <f t="shared" si="30"/>
        <v>0</v>
      </c>
      <c r="S57" s="703">
        <f t="shared" si="31"/>
        <v>0</v>
      </c>
      <c r="T57" s="713"/>
      <c r="U57" s="728"/>
      <c r="V57" s="728"/>
      <c r="W57" s="729"/>
      <c r="X57" s="730"/>
      <c r="Y57" s="719" t="s">
        <v>13</v>
      </c>
      <c r="Z57" s="720" t="str">
        <f t="shared" si="34"/>
        <v>None</v>
      </c>
      <c r="AA57" s="721">
        <f>VLOOKUP(Y57,'Fertilizer Pricing'!$A$4:$N$27,14,FALSE)</f>
        <v>0</v>
      </c>
      <c r="AB57" s="722">
        <f t="shared" si="32"/>
        <v>1</v>
      </c>
      <c r="AC57" s="702">
        <v>0</v>
      </c>
      <c r="AD57" s="700">
        <f t="shared" si="33"/>
        <v>0</v>
      </c>
      <c r="AE57" s="703">
        <f t="shared" si="35"/>
        <v>0</v>
      </c>
      <c r="AF57" s="713"/>
      <c r="AG57" s="728"/>
      <c r="AH57" s="728"/>
      <c r="AI57" s="729"/>
    </row>
    <row r="58" spans="1:35" ht="18.75">
      <c r="A58" s="719" t="s">
        <v>13</v>
      </c>
      <c r="B58" s="720" t="str">
        <f t="shared" si="24"/>
        <v>None</v>
      </c>
      <c r="C58" s="721">
        <f>VLOOKUP(A58,'Fertilizer Pricing'!$A$4:$N$27,14,FALSE)</f>
        <v>0</v>
      </c>
      <c r="D58" s="722">
        <f t="shared" si="25"/>
        <v>1</v>
      </c>
      <c r="E58" s="702">
        <v>0</v>
      </c>
      <c r="F58" s="700">
        <f t="shared" si="26"/>
        <v>0</v>
      </c>
      <c r="G58" s="703">
        <f t="shared" si="27"/>
        <v>0</v>
      </c>
      <c r="H58" s="713"/>
      <c r="I58" s="575" t="s">
        <v>121</v>
      </c>
      <c r="J58" s="575" t="s">
        <v>122</v>
      </c>
      <c r="K58" s="576" t="s">
        <v>123</v>
      </c>
      <c r="L58" s="726"/>
      <c r="M58" s="719" t="s">
        <v>13</v>
      </c>
      <c r="N58" s="720" t="str">
        <f t="shared" si="28"/>
        <v>None</v>
      </c>
      <c r="O58" s="721">
        <f>VLOOKUP(M58,'Fertilizer Pricing'!$A$4:$N$27,14,FALSE)</f>
        <v>0</v>
      </c>
      <c r="P58" s="722">
        <f t="shared" si="29"/>
        <v>1</v>
      </c>
      <c r="Q58" s="702">
        <v>0</v>
      </c>
      <c r="R58" s="700">
        <f t="shared" si="30"/>
        <v>0</v>
      </c>
      <c r="S58" s="703">
        <f t="shared" si="31"/>
        <v>0</v>
      </c>
      <c r="T58" s="713"/>
      <c r="U58" s="575" t="s">
        <v>121</v>
      </c>
      <c r="V58" s="575" t="s">
        <v>122</v>
      </c>
      <c r="W58" s="576" t="s">
        <v>123</v>
      </c>
      <c r="X58" s="26"/>
      <c r="Y58" s="719" t="s">
        <v>13</v>
      </c>
      <c r="Z58" s="720" t="str">
        <f t="shared" si="34"/>
        <v>None</v>
      </c>
      <c r="AA58" s="721">
        <f>VLOOKUP(Y58,'Fertilizer Pricing'!$A$4:$N$27,14,FALSE)</f>
        <v>0</v>
      </c>
      <c r="AB58" s="722">
        <f t="shared" si="32"/>
        <v>1</v>
      </c>
      <c r="AC58" s="702">
        <v>0</v>
      </c>
      <c r="AD58" s="700">
        <f t="shared" si="33"/>
        <v>0</v>
      </c>
      <c r="AE58" s="703">
        <f t="shared" si="35"/>
        <v>0</v>
      </c>
      <c r="AF58" s="713"/>
      <c r="AG58" s="575" t="s">
        <v>121</v>
      </c>
      <c r="AH58" s="575" t="s">
        <v>122</v>
      </c>
      <c r="AI58" s="576" t="s">
        <v>123</v>
      </c>
    </row>
    <row r="59" spans="1:35" ht="18.75">
      <c r="A59" s="731"/>
      <c r="B59" s="703"/>
      <c r="C59" s="721"/>
      <c r="D59" s="700"/>
      <c r="E59" s="732"/>
      <c r="F59" s="700"/>
      <c r="G59" s="703"/>
      <c r="H59" s="713"/>
      <c r="I59" s="733">
        <f>VLOOKUP($A$62,'Fertilizer Pricing'!$A$31:$N$35,8,FALSE)*$E$62+VLOOKUP($A$63,'Fertilizer Pricing'!$A$31:$N$35,8,FALSE)*$E$63+VLOOKUP($A$64,'Fertilizer Pricing'!$A$31:$N$35,8,FALSE)*$E$64+VLOOKUP($A$61,'Fertilizer Pricing'!$A$31:$N$35,8,FALSE)*$E$61</f>
        <v>0</v>
      </c>
      <c r="J59" s="733">
        <f>VLOOKUP($A$62,'Fertilizer Pricing'!$A$31:$N$35,9,FALSE)*$E$62+VLOOKUP($A$63,'Fertilizer Pricing'!$A$31:$N$35,9,FALSE)*$E$63+VLOOKUP($A$64,'Fertilizer Pricing'!$A$31:$N$35,9,FALSE)*$E$64+VLOOKUP($A$61,'Fertilizer Pricing'!$A$31:$N$35,9,FALSE)*$E$61</f>
        <v>0</v>
      </c>
      <c r="K59" s="734">
        <v>0</v>
      </c>
      <c r="L59" s="726"/>
      <c r="M59" s="731"/>
      <c r="N59" s="720"/>
      <c r="O59" s="721"/>
      <c r="P59" s="722"/>
      <c r="Q59" s="735"/>
      <c r="R59" s="700"/>
      <c r="S59" s="703"/>
      <c r="T59" s="713"/>
      <c r="U59" s="733">
        <f>VLOOKUP($M62,'Fertilizer Pricing'!$A$31:$N$35,8,FALSE)*$Q62+VLOOKUP($M63,'Fertilizer Pricing'!$A$31:$N$35,8,FALSE)*$Q63+VLOOKUP($M64,'Fertilizer Pricing'!$A$31:$N$35,8,FALSE)*$Q64+VLOOKUP($M61,'Fertilizer Pricing'!$A$31:$N$35,8,FALSE)*$Q61</f>
        <v>0</v>
      </c>
      <c r="V59" s="733">
        <f>VLOOKUP($M62,'Fertilizer Pricing'!$A$31:$N$35,9,FALSE)*$Q62+VLOOKUP($M63,'Fertilizer Pricing'!$A$31:$N$35,9,FALSE)*$Q63+VLOOKUP($M64,'Fertilizer Pricing'!$A$31:$N$35,9,FALSE)*$Q64+VLOOKUP($M61,'Fertilizer Pricing'!$A$31:$N$35,9,FALSE)*$Q61</f>
        <v>0</v>
      </c>
      <c r="W59" s="734">
        <v>0</v>
      </c>
      <c r="X59" s="118"/>
      <c r="Y59" s="731"/>
      <c r="Z59" s="720"/>
      <c r="AA59" s="721"/>
      <c r="AB59" s="722"/>
      <c r="AC59" s="735"/>
      <c r="AD59" s="700"/>
      <c r="AE59" s="703"/>
      <c r="AF59" s="713"/>
      <c r="AG59" s="733">
        <f>VLOOKUP($Y62,'Fertilizer Pricing'!$A$31:$N$35,8,FALSE)*$AC62+VLOOKUP($Y63,'Fertilizer Pricing'!$A$31:$N$35,8,FALSE)*$AC63+VLOOKUP($Y64,'Fertilizer Pricing'!$A$31:$N$35,8,FALSE)*$AC64+VLOOKUP($Y61,'Fertilizer Pricing'!$A$31:$N$35,8,FALSE)*$AC61</f>
        <v>0</v>
      </c>
      <c r="AH59" s="733">
        <f>VLOOKUP($Y62,'Fertilizer Pricing'!$A$31:$N$35,9,FALSE)*$AC62+VLOOKUP($Y63,'Fertilizer Pricing'!$A$31:$N$35,9,FALSE)*$AC63+VLOOKUP($Y64,'Fertilizer Pricing'!$A$31:$N$35,9,FALSE)*$AC64+VLOOKUP($Y61,'Fertilizer Pricing'!$A$31:$N$35,9,FALSE)*$AC61</f>
        <v>0.42899999999999994</v>
      </c>
      <c r="AI59" s="734">
        <v>0</v>
      </c>
    </row>
    <row r="60" spans="1:35" ht="18.75">
      <c r="A60" s="715" t="s">
        <v>762</v>
      </c>
      <c r="B60" s="28"/>
      <c r="C60" s="721"/>
      <c r="D60" s="28"/>
      <c r="E60" s="735"/>
      <c r="F60" s="545"/>
      <c r="G60" s="703"/>
      <c r="H60" s="713"/>
      <c r="I60" s="713"/>
      <c r="J60" s="713"/>
      <c r="K60" s="714"/>
      <c r="L60" s="726"/>
      <c r="M60" s="715" t="s">
        <v>762</v>
      </c>
      <c r="N60" s="28"/>
      <c r="O60" s="721"/>
      <c r="P60" s="28"/>
      <c r="Q60" s="735"/>
      <c r="R60" s="545"/>
      <c r="S60" s="703"/>
      <c r="T60" s="713"/>
      <c r="U60" s="713"/>
      <c r="V60" s="713"/>
      <c r="W60" s="714"/>
      <c r="X60" s="736"/>
      <c r="Y60" s="715" t="s">
        <v>762</v>
      </c>
      <c r="Z60" s="28"/>
      <c r="AA60" s="721"/>
      <c r="AB60" s="28"/>
      <c r="AC60" s="735"/>
      <c r="AD60" s="545"/>
      <c r="AE60" s="703"/>
      <c r="AF60" s="713"/>
      <c r="AG60" s="713"/>
      <c r="AH60" s="713"/>
      <c r="AI60" s="714"/>
    </row>
    <row r="61" spans="1:35" ht="18.75">
      <c r="A61" s="719" t="s">
        <v>29</v>
      </c>
      <c r="B61" s="720" t="str">
        <f>VLOOKUP($A61,Micronutrients,13,FALSE)</f>
        <v>Pound</v>
      </c>
      <c r="C61" s="721">
        <f>VLOOKUP($A61,Micronutrients,14,FALSE)</f>
        <v>1.08</v>
      </c>
      <c r="D61" s="722">
        <f>VLOOKUP($A61,Micronutrients,12,FALSE)</f>
        <v>1</v>
      </c>
      <c r="E61" s="702">
        <v>0</v>
      </c>
      <c r="F61" s="700" t="str">
        <f>VLOOKUP($A61,Micronutrients,11,FALSE)</f>
        <v>lbs</v>
      </c>
      <c r="G61" s="703">
        <f>(E61*VLOOKUP(A61,Micronutrients,10,FALSE)/D61)*C61</f>
        <v>0</v>
      </c>
      <c r="H61" s="713"/>
      <c r="I61" s="713"/>
      <c r="J61" s="713"/>
      <c r="K61" s="714"/>
      <c r="L61" s="726"/>
      <c r="M61" s="719" t="s">
        <v>13</v>
      </c>
      <c r="N61" s="720" t="str">
        <f>VLOOKUP(M61,[0]!Micronutrients,13,FALSE)</f>
        <v>None</v>
      </c>
      <c r="O61" s="721">
        <f>VLOOKUP(M61,[0]!Micronutrients,14,FALSE)</f>
        <v>0</v>
      </c>
      <c r="P61" s="722">
        <f>VLOOKUP(M61,[0]!Micronutrients,12,FALSE)</f>
        <v>1</v>
      </c>
      <c r="Q61" s="702">
        <v>0</v>
      </c>
      <c r="R61" s="700">
        <f>VLOOKUP(M61,[0]!Micronutrients,11,FALSE)</f>
        <v>0</v>
      </c>
      <c r="S61" s="703">
        <f>(Q61*VLOOKUP(M61,[0]!Micronutrients,10,FALSE)/P61)*O61</f>
        <v>0</v>
      </c>
      <c r="T61" s="713"/>
      <c r="U61" s="713"/>
      <c r="V61" s="713"/>
      <c r="W61" s="714"/>
      <c r="X61" s="736"/>
      <c r="Y61" s="719" t="s">
        <v>29</v>
      </c>
      <c r="Z61" s="720" t="str">
        <f>VLOOKUP($Y61,Micronutrients,13,FALSE)</f>
        <v>Pound</v>
      </c>
      <c r="AA61" s="721">
        <f>VLOOKUP($Y61,Micronutrients,14,FALSE)</f>
        <v>1.08</v>
      </c>
      <c r="AB61" s="722">
        <f>VLOOKUP(Y61,Micronutrients,12,FALSE)</f>
        <v>1</v>
      </c>
      <c r="AC61" s="702">
        <v>3</v>
      </c>
      <c r="AD61" s="700" t="str">
        <f>VLOOKUP(Y61,Micronutrients,11,FALSE)</f>
        <v>lbs</v>
      </c>
      <c r="AE61" s="703">
        <f>(AC61*VLOOKUP(Y61,Micronutrients,10,FALSE)/AB61)*AA61</f>
        <v>3.24</v>
      </c>
      <c r="AF61" s="713"/>
      <c r="AG61" s="713"/>
      <c r="AH61" s="713"/>
      <c r="AI61" s="714"/>
    </row>
    <row r="62" spans="1:35" ht="18.75">
      <c r="A62" s="719" t="s">
        <v>13</v>
      </c>
      <c r="B62" s="720" t="str">
        <f>VLOOKUP($A62,Micronutrients,13,FALSE)</f>
        <v>None</v>
      </c>
      <c r="C62" s="721">
        <f>VLOOKUP($A62,Micronutrients,14,FALSE)</f>
        <v>0</v>
      </c>
      <c r="D62" s="722">
        <f>VLOOKUP($A62,Micronutrients,12,FALSE)</f>
        <v>1</v>
      </c>
      <c r="E62" s="702">
        <v>0</v>
      </c>
      <c r="F62" s="700">
        <f>VLOOKUP($A62,Micronutrients,11,FALSE)</f>
        <v>0</v>
      </c>
      <c r="G62" s="703">
        <f>(E62*VLOOKUP(A62,Micronutrients,10,FALSE)/D62)*C62</f>
        <v>0</v>
      </c>
      <c r="H62" s="713"/>
      <c r="I62" s="713"/>
      <c r="J62" s="713"/>
      <c r="K62" s="714"/>
      <c r="L62" s="726"/>
      <c r="M62" s="719" t="s">
        <v>13</v>
      </c>
      <c r="N62" s="720" t="str">
        <f>VLOOKUP(M62,[0]!Micronutrients,13,FALSE)</f>
        <v>None</v>
      </c>
      <c r="O62" s="721">
        <f>VLOOKUP(M62,[0]!Micronutrients,14,FALSE)</f>
        <v>0</v>
      </c>
      <c r="P62" s="722">
        <f>VLOOKUP(M62,[0]!Micronutrients,12,FALSE)</f>
        <v>1</v>
      </c>
      <c r="Q62" s="702">
        <v>0</v>
      </c>
      <c r="R62" s="700">
        <f>VLOOKUP(M62,[0]!Micronutrients,11,FALSE)</f>
        <v>0</v>
      </c>
      <c r="S62" s="703">
        <f>(Q62*VLOOKUP(M62,[0]!Micronutrients,10,FALSE)/P62)*O62</f>
        <v>0</v>
      </c>
      <c r="T62" s="713"/>
      <c r="U62" s="713"/>
      <c r="V62" s="713"/>
      <c r="W62" s="714"/>
      <c r="X62" s="736"/>
      <c r="Y62" s="719" t="s">
        <v>13</v>
      </c>
      <c r="Z62" s="720" t="str">
        <f>VLOOKUP($Y62,Micronutrients,13,FALSE)</f>
        <v>None</v>
      </c>
      <c r="AA62" s="721">
        <f>VLOOKUP($Y62,Micronutrients,14,FALSE)</f>
        <v>0</v>
      </c>
      <c r="AB62" s="722">
        <f>VLOOKUP(Y62,Micronutrients,12,FALSE)</f>
        <v>1</v>
      </c>
      <c r="AC62" s="702">
        <v>0</v>
      </c>
      <c r="AD62" s="700">
        <f>VLOOKUP(Y62,Micronutrients,11,FALSE)</f>
        <v>0</v>
      </c>
      <c r="AE62" s="703">
        <f>(AC62*VLOOKUP(Y62,Micronutrients,10,FALSE)/AB62)*AA62</f>
        <v>0</v>
      </c>
      <c r="AF62" s="713"/>
      <c r="AG62" s="713"/>
      <c r="AH62" s="713"/>
      <c r="AI62" s="714"/>
    </row>
    <row r="63" spans="1:35" ht="18.75">
      <c r="A63" s="719" t="s">
        <v>13</v>
      </c>
      <c r="B63" s="720" t="str">
        <f>VLOOKUP($A63,Micronutrients,13,FALSE)</f>
        <v>None</v>
      </c>
      <c r="C63" s="721">
        <f>VLOOKUP($A63,Micronutrients,14,FALSE)</f>
        <v>0</v>
      </c>
      <c r="D63" s="722">
        <f>VLOOKUP($A63,Micronutrients,12,FALSE)</f>
        <v>1</v>
      </c>
      <c r="E63" s="702">
        <v>0</v>
      </c>
      <c r="F63" s="700">
        <f>VLOOKUP($A63,Micronutrients,11,FALSE)</f>
        <v>0</v>
      </c>
      <c r="G63" s="703">
        <f>(E63*VLOOKUP(A63,Micronutrients,10,FALSE)/D63)*C63</f>
        <v>0</v>
      </c>
      <c r="H63" s="713"/>
      <c r="I63" s="713"/>
      <c r="J63" s="713"/>
      <c r="K63" s="714"/>
      <c r="L63" s="726"/>
      <c r="M63" s="719" t="s">
        <v>13</v>
      </c>
      <c r="N63" s="720" t="str">
        <f>VLOOKUP(M63,[0]!Micronutrients,13,FALSE)</f>
        <v>None</v>
      </c>
      <c r="O63" s="721">
        <f>VLOOKUP(M63,[0]!Micronutrients,14,FALSE)</f>
        <v>0</v>
      </c>
      <c r="P63" s="722">
        <f>VLOOKUP(M63,[0]!Micronutrients,12,FALSE)</f>
        <v>1</v>
      </c>
      <c r="Q63" s="702">
        <v>0</v>
      </c>
      <c r="R63" s="700">
        <f>VLOOKUP(M63,[0]!Micronutrients,11,FALSE)</f>
        <v>0</v>
      </c>
      <c r="S63" s="703">
        <f>(Q63*VLOOKUP(M63,[0]!Micronutrients,10,FALSE)/P63)*O63</f>
        <v>0</v>
      </c>
      <c r="T63" s="713"/>
      <c r="U63" s="713"/>
      <c r="V63" s="713"/>
      <c r="W63" s="714"/>
      <c r="X63" s="736"/>
      <c r="Y63" s="719" t="s">
        <v>13</v>
      </c>
      <c r="Z63" s="720" t="str">
        <f>VLOOKUP($Y63,Micronutrients,13,FALSE)</f>
        <v>None</v>
      </c>
      <c r="AA63" s="721">
        <f>VLOOKUP($Y63,Micronutrients,14,FALSE)</f>
        <v>0</v>
      </c>
      <c r="AB63" s="722">
        <f>VLOOKUP(Y63,Micronutrients,12,FALSE)</f>
        <v>1</v>
      </c>
      <c r="AC63" s="702">
        <v>0</v>
      </c>
      <c r="AD63" s="700">
        <f>VLOOKUP(Y63,Micronutrients,11,FALSE)</f>
        <v>0</v>
      </c>
      <c r="AE63" s="703">
        <f>(AC63*VLOOKUP(Y63,Micronutrients,10,FALSE)/AB63)*AA63</f>
        <v>0</v>
      </c>
      <c r="AF63" s="713"/>
      <c r="AG63" s="713"/>
      <c r="AH63" s="713"/>
      <c r="AI63" s="714"/>
    </row>
    <row r="64" spans="1:35" ht="18.75">
      <c r="A64" s="719" t="s">
        <v>13</v>
      </c>
      <c r="B64" s="720" t="str">
        <f>VLOOKUP($A64,Micronutrients,13,FALSE)</f>
        <v>None</v>
      </c>
      <c r="C64" s="721">
        <f>VLOOKUP($A64,Micronutrients,14,FALSE)</f>
        <v>0</v>
      </c>
      <c r="D64" s="722">
        <f>VLOOKUP($A64,Micronutrients,12,FALSE)</f>
        <v>1</v>
      </c>
      <c r="E64" s="702">
        <v>0</v>
      </c>
      <c r="F64" s="700">
        <f>VLOOKUP($A64,Micronutrients,11,FALSE)</f>
        <v>0</v>
      </c>
      <c r="G64" s="703">
        <f>(E64*VLOOKUP(A64,Micronutrients,10,FALSE)/D64)*C64</f>
        <v>0</v>
      </c>
      <c r="H64" s="713"/>
      <c r="I64" s="713"/>
      <c r="J64" s="713"/>
      <c r="K64" s="714"/>
      <c r="L64" s="726"/>
      <c r="M64" s="719" t="s">
        <v>13</v>
      </c>
      <c r="N64" s="720" t="str">
        <f>VLOOKUP(M64,[0]!Micronutrients,13,FALSE)</f>
        <v>None</v>
      </c>
      <c r="O64" s="721">
        <f>VLOOKUP(M64,[0]!Micronutrients,14,FALSE)</f>
        <v>0</v>
      </c>
      <c r="P64" s="722">
        <f>VLOOKUP(M64,[0]!Micronutrients,12,FALSE)</f>
        <v>1</v>
      </c>
      <c r="Q64" s="702">
        <v>0</v>
      </c>
      <c r="R64" s="700">
        <f>VLOOKUP(M64,[0]!Micronutrients,11,FALSE)</f>
        <v>0</v>
      </c>
      <c r="S64" s="703">
        <f>(Q64*VLOOKUP(M64,[0]!Micronutrients,10,FALSE)/P64)*O64</f>
        <v>0</v>
      </c>
      <c r="T64" s="713"/>
      <c r="U64" s="713"/>
      <c r="V64" s="713"/>
      <c r="W64" s="714"/>
      <c r="X64" s="736"/>
      <c r="Y64" s="719" t="s">
        <v>13</v>
      </c>
      <c r="Z64" s="720" t="str">
        <f>VLOOKUP($Y64,Micronutrients,13,FALSE)</f>
        <v>None</v>
      </c>
      <c r="AA64" s="721">
        <f>VLOOKUP($Y64,Micronutrients,14,FALSE)</f>
        <v>0</v>
      </c>
      <c r="AB64" s="722">
        <f>VLOOKUP(Y64,Micronutrients,12,FALSE)</f>
        <v>1</v>
      </c>
      <c r="AC64" s="702">
        <v>0</v>
      </c>
      <c r="AD64" s="700">
        <f>VLOOKUP(Y64,Micronutrients,11,FALSE)</f>
        <v>0</v>
      </c>
      <c r="AE64" s="703">
        <f>(AC64*VLOOKUP(Y64,Micronutrients,10,FALSE)/AB64)*AA64</f>
        <v>0</v>
      </c>
      <c r="AF64" s="713"/>
      <c r="AG64" s="713"/>
      <c r="AH64" s="713"/>
      <c r="AI64" s="714"/>
    </row>
    <row r="65" spans="1:35" ht="18.75">
      <c r="A65" s="731"/>
      <c r="B65" s="28"/>
      <c r="C65" s="721"/>
      <c r="D65" s="700"/>
      <c r="E65" s="732"/>
      <c r="F65" s="700"/>
      <c r="G65" s="703"/>
      <c r="H65" s="713"/>
      <c r="I65" s="713"/>
      <c r="J65" s="713"/>
      <c r="K65" s="714"/>
      <c r="L65" s="726"/>
      <c r="M65" s="731"/>
      <c r="N65" s="28"/>
      <c r="O65" s="721"/>
      <c r="P65" s="28"/>
      <c r="Q65" s="735"/>
      <c r="R65" s="545"/>
      <c r="S65" s="703"/>
      <c r="T65" s="713"/>
      <c r="U65" s="713"/>
      <c r="V65" s="713"/>
      <c r="W65" s="714"/>
      <c r="X65" s="736"/>
      <c r="Y65" s="731"/>
      <c r="Z65" s="28"/>
      <c r="AA65" s="721"/>
      <c r="AB65" s="28"/>
      <c r="AC65" s="735"/>
      <c r="AD65" s="545"/>
      <c r="AE65" s="703"/>
      <c r="AF65" s="713"/>
      <c r="AG65" s="713"/>
      <c r="AH65" s="713"/>
      <c r="AI65" s="714"/>
    </row>
    <row r="66" spans="1:35" ht="18.75">
      <c r="A66" s="715" t="s">
        <v>764</v>
      </c>
      <c r="B66" s="737"/>
      <c r="C66" s="738"/>
      <c r="D66" s="741"/>
      <c r="E66" s="756"/>
      <c r="F66" s="741"/>
      <c r="G66" s="741"/>
      <c r="H66" s="713"/>
      <c r="I66" s="713"/>
      <c r="J66" s="713"/>
      <c r="K66" s="714"/>
      <c r="L66" s="726"/>
      <c r="M66" s="715" t="s">
        <v>764</v>
      </c>
      <c r="N66" s="737"/>
      <c r="O66" s="738"/>
      <c r="P66" s="737"/>
      <c r="Q66" s="739"/>
      <c r="R66" s="741"/>
      <c r="S66" s="741"/>
      <c r="T66" s="713"/>
      <c r="U66" s="713"/>
      <c r="V66" s="713"/>
      <c r="W66" s="714"/>
      <c r="X66" s="736"/>
      <c r="Y66" s="715" t="s">
        <v>764</v>
      </c>
      <c r="Z66" s="737"/>
      <c r="AA66" s="738"/>
      <c r="AB66" s="737"/>
      <c r="AC66" s="739"/>
      <c r="AD66" s="741"/>
      <c r="AE66" s="741"/>
      <c r="AF66" s="713"/>
      <c r="AG66" s="713"/>
      <c r="AH66" s="713"/>
      <c r="AI66" s="714"/>
    </row>
    <row r="67" spans="1:35" ht="18.75">
      <c r="A67" s="740" t="s">
        <v>13</v>
      </c>
      <c r="B67" s="720" t="str">
        <f>VLOOKUP(A67,NitrogenStabilizers,13,FALSE)</f>
        <v>None</v>
      </c>
      <c r="C67" s="721">
        <f>VLOOKUP(A67,NitrogenStabilizers,14,FALSE)</f>
        <v>0</v>
      </c>
      <c r="D67" s="722">
        <f>VLOOKUP(A67,NitrogenStabilizers,12,FALSE)</f>
        <v>1</v>
      </c>
      <c r="E67" s="702">
        <v>0</v>
      </c>
      <c r="F67" s="700">
        <f>VLOOKUP(A67,NitrogenStabilizers,11,FALSE)</f>
        <v>0</v>
      </c>
      <c r="G67" s="703">
        <f>(E67*VLOOKUP(A67,NitrogenStabilizers,10,FALSE)/D67)*C67</f>
        <v>0</v>
      </c>
      <c r="H67" s="713"/>
      <c r="I67" s="713"/>
      <c r="J67" s="713"/>
      <c r="K67" s="714"/>
      <c r="L67" s="726"/>
      <c r="M67" s="740" t="s">
        <v>13</v>
      </c>
      <c r="N67" s="720" t="str">
        <f>VLOOKUP(M67,NitrogenStabilizers,13,FALSE)</f>
        <v>None</v>
      </c>
      <c r="O67" s="721">
        <f>VLOOKUP(M67,NitrogenStabilizers,14,FALSE)</f>
        <v>0</v>
      </c>
      <c r="P67" s="722">
        <f>VLOOKUP(M67,NitrogenStabilizers,12,FALSE)</f>
        <v>1</v>
      </c>
      <c r="Q67" s="702">
        <v>0</v>
      </c>
      <c r="R67" s="700">
        <f>VLOOKUP(M67,NitrogenStabilizers,11,FALSE)</f>
        <v>0</v>
      </c>
      <c r="S67" s="703">
        <f>(Q67*VLOOKUP(M67,NitrogenStabilizers,10,FALSE)/P67)*O67</f>
        <v>0</v>
      </c>
      <c r="T67" s="713"/>
      <c r="U67" s="713"/>
      <c r="V67" s="713"/>
      <c r="W67" s="714"/>
      <c r="X67" s="736"/>
      <c r="Y67" s="740" t="s">
        <v>13</v>
      </c>
      <c r="Z67" s="720" t="str">
        <f>VLOOKUP(Y67,NitrogenStabilizers,13,FALSE)</f>
        <v>None</v>
      </c>
      <c r="AA67" s="721">
        <f>VLOOKUP(Y67,NitrogenStabilizers,14,FALSE)</f>
        <v>0</v>
      </c>
      <c r="AB67" s="722">
        <f>VLOOKUP(Y67,NitrogenStabilizers,12,FALSE)</f>
        <v>1</v>
      </c>
      <c r="AC67" s="702">
        <v>0</v>
      </c>
      <c r="AD67" s="700">
        <f>VLOOKUP(Y67,NitrogenStabilizers,11,FALSE)</f>
        <v>0</v>
      </c>
      <c r="AE67" s="703">
        <f>(AC67*VLOOKUP(Y67,NitrogenStabilizers,10,FALSE)/AB67)*AA67</f>
        <v>0</v>
      </c>
      <c r="AF67" s="713"/>
      <c r="AG67" s="713"/>
      <c r="AH67" s="713"/>
      <c r="AI67" s="714"/>
    </row>
    <row r="68" spans="1:35" ht="18.75">
      <c r="A68" s="740" t="s">
        <v>13</v>
      </c>
      <c r="B68" s="720" t="str">
        <f>VLOOKUP(A68,NitrogenStabilizers,13,FALSE)</f>
        <v>None</v>
      </c>
      <c r="C68" s="721">
        <f>VLOOKUP(A68,NitrogenStabilizers,14,FALSE)</f>
        <v>0</v>
      </c>
      <c r="D68" s="722">
        <f>VLOOKUP(A68,NitrogenStabilizers,12,FALSE)</f>
        <v>1</v>
      </c>
      <c r="E68" s="702">
        <v>0</v>
      </c>
      <c r="F68" s="700">
        <f>VLOOKUP(A68,NitrogenStabilizers,11,FALSE)</f>
        <v>0</v>
      </c>
      <c r="G68" s="703">
        <f>(E68*VLOOKUP(A68,NitrogenStabilizers,10,FALSE)/D68)*C68</f>
        <v>0</v>
      </c>
      <c r="H68" s="713"/>
      <c r="I68" s="713"/>
      <c r="J68" s="713"/>
      <c r="K68" s="714"/>
      <c r="L68" s="726"/>
      <c r="M68" s="740" t="s">
        <v>13</v>
      </c>
      <c r="N68" s="720" t="str">
        <f>VLOOKUP(M68,NitrogenStabilizers,13,FALSE)</f>
        <v>None</v>
      </c>
      <c r="O68" s="721">
        <f>VLOOKUP(M68,NitrogenStabilizers,14,FALSE)</f>
        <v>0</v>
      </c>
      <c r="P68" s="722">
        <f>VLOOKUP(M68,NitrogenStabilizers,12,FALSE)</f>
        <v>1</v>
      </c>
      <c r="Q68" s="702">
        <v>0</v>
      </c>
      <c r="R68" s="700">
        <f>VLOOKUP(M68,NitrogenStabilizers,11,FALSE)</f>
        <v>0</v>
      </c>
      <c r="S68" s="703">
        <f>(Q68*VLOOKUP(M68,NitrogenStabilizers,10,FALSE)/P68)*O68</f>
        <v>0</v>
      </c>
      <c r="T68" s="713"/>
      <c r="U68" s="713"/>
      <c r="V68" s="713"/>
      <c r="W68" s="714"/>
      <c r="X68" s="736"/>
      <c r="Y68" s="740" t="s">
        <v>13</v>
      </c>
      <c r="Z68" s="720" t="str">
        <f>VLOOKUP(Y68,NitrogenStabilizers,13,FALSE)</f>
        <v>None</v>
      </c>
      <c r="AA68" s="721">
        <f>VLOOKUP(Y68,NitrogenStabilizers,14,FALSE)</f>
        <v>0</v>
      </c>
      <c r="AB68" s="722">
        <f>VLOOKUP(Y68,NitrogenStabilizers,12,FALSE)</f>
        <v>1</v>
      </c>
      <c r="AC68" s="702">
        <v>0</v>
      </c>
      <c r="AD68" s="700">
        <f>VLOOKUP(Y68,NitrogenStabilizers,11,FALSE)</f>
        <v>0</v>
      </c>
      <c r="AE68" s="703">
        <f>(AC68*VLOOKUP(Y68,NitrogenStabilizers,10,FALSE)/AB68)*AA68</f>
        <v>0</v>
      </c>
      <c r="AF68" s="713"/>
      <c r="AG68" s="713"/>
      <c r="AH68" s="713"/>
      <c r="AI68" s="714"/>
    </row>
    <row r="69" spans="1:35" ht="19.5" thickBot="1">
      <c r="A69" s="744" t="s">
        <v>152</v>
      </c>
      <c r="B69" s="745"/>
      <c r="C69" s="745"/>
      <c r="D69" s="745"/>
      <c r="E69" s="746"/>
      <c r="F69" s="745"/>
      <c r="G69" s="747">
        <f>SUM(G53:G68)</f>
        <v>57.5625</v>
      </c>
      <c r="H69" s="713"/>
      <c r="I69" s="713"/>
      <c r="J69" s="713"/>
      <c r="K69" s="714"/>
      <c r="L69" s="726"/>
      <c r="M69" s="744" t="s">
        <v>152</v>
      </c>
      <c r="N69" s="745"/>
      <c r="O69" s="745"/>
      <c r="P69" s="745"/>
      <c r="Q69" s="746"/>
      <c r="R69" s="745"/>
      <c r="S69" s="747">
        <f>SUM(S53:S68)</f>
        <v>0</v>
      </c>
      <c r="T69" s="713"/>
      <c r="U69" s="713"/>
      <c r="V69" s="713"/>
      <c r="W69" s="714"/>
      <c r="X69" s="736"/>
      <c r="Y69" s="744" t="s">
        <v>151</v>
      </c>
      <c r="Z69" s="745"/>
      <c r="AA69" s="745"/>
      <c r="AB69" s="745"/>
      <c r="AC69" s="746"/>
      <c r="AD69" s="745"/>
      <c r="AE69" s="747">
        <f>SUM(AE53:AE68)</f>
        <v>40.64</v>
      </c>
      <c r="AF69" s="713"/>
      <c r="AG69" s="713"/>
      <c r="AH69" s="713"/>
      <c r="AI69" s="714"/>
    </row>
    <row r="70" spans="1:35" ht="19.5" thickTop="1">
      <c r="A70" s="344"/>
      <c r="B70" s="748"/>
      <c r="C70" s="748"/>
      <c r="D70" s="748"/>
      <c r="E70" s="748"/>
      <c r="F70" s="748"/>
      <c r="G70" s="749"/>
      <c r="H70" s="713"/>
      <c r="I70" s="713"/>
      <c r="J70" s="713"/>
      <c r="K70" s="714"/>
      <c r="L70" s="726"/>
      <c r="M70" s="344"/>
      <c r="N70" s="748"/>
      <c r="O70" s="748"/>
      <c r="P70" s="748"/>
      <c r="Q70" s="748"/>
      <c r="R70" s="748"/>
      <c r="S70" s="749"/>
      <c r="T70" s="713"/>
      <c r="U70" s="713"/>
      <c r="V70" s="713"/>
      <c r="W70" s="714"/>
      <c r="X70" s="736"/>
      <c r="Y70" s="344"/>
      <c r="Z70" s="748"/>
      <c r="AA70" s="748"/>
      <c r="AB70" s="748"/>
      <c r="AC70" s="748"/>
      <c r="AD70" s="748"/>
      <c r="AE70" s="749"/>
      <c r="AF70" s="713"/>
      <c r="AG70" s="713"/>
      <c r="AH70" s="713"/>
      <c r="AI70" s="714"/>
    </row>
    <row r="71" spans="1:35" ht="19.5" thickBot="1">
      <c r="A71" s="750"/>
      <c r="B71" s="713"/>
      <c r="C71" s="713"/>
      <c r="D71" s="713"/>
      <c r="E71" s="713"/>
      <c r="F71" s="713"/>
      <c r="G71" s="713"/>
      <c r="H71" s="713"/>
      <c r="I71" s="713"/>
      <c r="J71" s="713"/>
      <c r="K71" s="714"/>
      <c r="L71" s="726"/>
      <c r="M71" s="750"/>
      <c r="N71" s="713"/>
      <c r="O71" s="713"/>
      <c r="P71" s="713"/>
      <c r="Q71" s="713"/>
      <c r="R71" s="713"/>
      <c r="S71" s="713"/>
      <c r="T71" s="713"/>
      <c r="U71" s="713"/>
      <c r="V71" s="713"/>
      <c r="W71" s="714"/>
      <c r="X71" s="736"/>
      <c r="Y71" s="750"/>
      <c r="Z71" s="713"/>
      <c r="AA71" s="713"/>
      <c r="AB71" s="713"/>
      <c r="AC71" s="713"/>
      <c r="AD71" s="713"/>
      <c r="AE71" s="713"/>
      <c r="AF71" s="713"/>
      <c r="AG71" s="713"/>
      <c r="AH71" s="713"/>
      <c r="AI71" s="714"/>
    </row>
    <row r="72" spans="1:35" ht="19.5" thickBot="1">
      <c r="A72" s="757" t="s">
        <v>149</v>
      </c>
      <c r="B72" s="745"/>
      <c r="C72" s="745"/>
      <c r="D72" s="745"/>
      <c r="E72" s="745"/>
      <c r="F72" s="745"/>
      <c r="G72" s="747">
        <f>G69+G47+G25</f>
        <v>121.57204999999999</v>
      </c>
      <c r="H72" s="713"/>
      <c r="I72" s="913" t="s">
        <v>267</v>
      </c>
      <c r="J72" s="914"/>
      <c r="K72" s="915"/>
      <c r="L72" s="726"/>
      <c r="M72" s="757" t="s">
        <v>149</v>
      </c>
      <c r="N72" s="745"/>
      <c r="O72" s="745"/>
      <c r="P72" s="745"/>
      <c r="Q72" s="745"/>
      <c r="R72" s="745"/>
      <c r="S72" s="747">
        <f>S69+S47+S25</f>
        <v>37.975000000000001</v>
      </c>
      <c r="T72" s="713"/>
      <c r="U72" s="913" t="s">
        <v>267</v>
      </c>
      <c r="V72" s="914"/>
      <c r="W72" s="915"/>
      <c r="X72" s="26"/>
      <c r="Y72" s="757" t="s">
        <v>149</v>
      </c>
      <c r="Z72" s="745"/>
      <c r="AA72" s="745"/>
      <c r="AB72" s="745"/>
      <c r="AC72" s="745"/>
      <c r="AD72" s="745"/>
      <c r="AE72" s="747">
        <f>AE69+AE47+AE25</f>
        <v>77.015000000000001</v>
      </c>
      <c r="AF72" s="713"/>
      <c r="AG72" s="913" t="s">
        <v>267</v>
      </c>
      <c r="AH72" s="914"/>
      <c r="AI72" s="915"/>
    </row>
    <row r="73" spans="1:35" ht="19.5" thickTop="1">
      <c r="A73" s="574"/>
      <c r="B73" s="748"/>
      <c r="C73" s="748"/>
      <c r="D73" s="748"/>
      <c r="E73" s="748"/>
      <c r="F73" s="748"/>
      <c r="G73" s="749"/>
      <c r="H73" s="713"/>
      <c r="I73" s="728"/>
      <c r="J73" s="728"/>
      <c r="K73" s="729"/>
      <c r="L73" s="726"/>
      <c r="M73" s="574"/>
      <c r="N73" s="748"/>
      <c r="O73" s="748"/>
      <c r="P73" s="748"/>
      <c r="Q73" s="748"/>
      <c r="R73" s="748"/>
      <c r="S73" s="749"/>
      <c r="T73" s="713"/>
      <c r="U73" s="728"/>
      <c r="V73" s="728"/>
      <c r="W73" s="729"/>
      <c r="X73" s="730"/>
      <c r="Y73" s="574"/>
      <c r="Z73" s="748"/>
      <c r="AA73" s="748"/>
      <c r="AB73" s="748"/>
      <c r="AC73" s="748"/>
      <c r="AD73" s="748"/>
      <c r="AE73" s="749"/>
      <c r="AF73" s="713"/>
      <c r="AG73" s="728"/>
      <c r="AH73" s="728"/>
      <c r="AI73" s="729"/>
    </row>
    <row r="74" spans="1:35" ht="18.75">
      <c r="A74" s="574"/>
      <c r="B74" s="748"/>
      <c r="C74" s="748"/>
      <c r="D74" s="748"/>
      <c r="E74" s="748"/>
      <c r="F74" s="748"/>
      <c r="G74" s="749"/>
      <c r="H74" s="713"/>
      <c r="I74" s="758" t="s">
        <v>115</v>
      </c>
      <c r="J74" s="758" t="s">
        <v>116</v>
      </c>
      <c r="K74" s="759" t="s">
        <v>117</v>
      </c>
      <c r="L74" s="726"/>
      <c r="M74" s="574"/>
      <c r="N74" s="748"/>
      <c r="O74" s="748"/>
      <c r="P74" s="748"/>
      <c r="Q74" s="748"/>
      <c r="R74" s="748"/>
      <c r="S74" s="749"/>
      <c r="T74" s="713"/>
      <c r="U74" s="758" t="s">
        <v>115</v>
      </c>
      <c r="V74" s="758" t="s">
        <v>116</v>
      </c>
      <c r="W74" s="759" t="s">
        <v>117</v>
      </c>
      <c r="X74" s="26"/>
      <c r="Y74" s="574"/>
      <c r="Z74" s="748"/>
      <c r="AA74" s="748"/>
      <c r="AB74" s="748"/>
      <c r="AC74" s="748"/>
      <c r="AD74" s="748"/>
      <c r="AE74" s="749"/>
      <c r="AF74" s="713"/>
      <c r="AG74" s="758" t="s">
        <v>115</v>
      </c>
      <c r="AH74" s="758" t="s">
        <v>116</v>
      </c>
      <c r="AI74" s="759" t="s">
        <v>117</v>
      </c>
    </row>
    <row r="75" spans="1:35" ht="18.75">
      <c r="A75" s="574"/>
      <c r="B75" s="748"/>
      <c r="C75" s="748"/>
      <c r="D75" s="748"/>
      <c r="E75" s="748"/>
      <c r="F75" s="748"/>
      <c r="G75" s="749"/>
      <c r="H75" s="713"/>
      <c r="I75" s="724">
        <f>I53+I31</f>
        <v>145.5204</v>
      </c>
      <c r="J75" s="724">
        <f>J53+J31+J6</f>
        <v>58.368000000000002</v>
      </c>
      <c r="K75" s="725">
        <f>K53+K31+K6</f>
        <v>62</v>
      </c>
      <c r="L75" s="726"/>
      <c r="M75" s="574"/>
      <c r="N75" s="748"/>
      <c r="O75" s="748"/>
      <c r="P75" s="748"/>
      <c r="Q75" s="748"/>
      <c r="R75" s="748"/>
      <c r="S75" s="749"/>
      <c r="T75" s="713"/>
      <c r="U75" s="724">
        <f>U53+U31</f>
        <v>0</v>
      </c>
      <c r="V75" s="724">
        <f>V53+V31+V6</f>
        <v>36.800000000000004</v>
      </c>
      <c r="W75" s="725">
        <f>W53+W31+W6</f>
        <v>55.8</v>
      </c>
      <c r="X75" s="727"/>
      <c r="Y75" s="574"/>
      <c r="Z75" s="748"/>
      <c r="AA75" s="748"/>
      <c r="AB75" s="748"/>
      <c r="AC75" s="748"/>
      <c r="AD75" s="748"/>
      <c r="AE75" s="749"/>
      <c r="AF75" s="713"/>
      <c r="AG75" s="724">
        <f>AG53+AG31+AG6</f>
        <v>95.2</v>
      </c>
      <c r="AH75" s="724">
        <f>AH53+AH31+AH6</f>
        <v>46</v>
      </c>
      <c r="AI75" s="725">
        <f>AI53+AI31+AI6</f>
        <v>31</v>
      </c>
    </row>
    <row r="76" spans="1:35" ht="18.75">
      <c r="A76" s="574"/>
      <c r="B76" s="748"/>
      <c r="C76" s="748"/>
      <c r="D76" s="748"/>
      <c r="E76" s="748"/>
      <c r="F76" s="748"/>
      <c r="G76" s="749"/>
      <c r="H76" s="713"/>
      <c r="I76" s="728"/>
      <c r="J76" s="728"/>
      <c r="K76" s="729"/>
      <c r="L76" s="726"/>
      <c r="M76" s="574"/>
      <c r="N76" s="748"/>
      <c r="O76" s="748"/>
      <c r="P76" s="748"/>
      <c r="Q76" s="748"/>
      <c r="R76" s="748"/>
      <c r="S76" s="749"/>
      <c r="T76" s="713"/>
      <c r="U76" s="728"/>
      <c r="V76" s="728"/>
      <c r="W76" s="729"/>
      <c r="X76" s="730"/>
      <c r="Y76" s="574"/>
      <c r="Z76" s="748"/>
      <c r="AA76" s="748"/>
      <c r="AB76" s="748"/>
      <c r="AC76" s="748"/>
      <c r="AD76" s="748"/>
      <c r="AE76" s="749"/>
      <c r="AF76" s="713"/>
      <c r="AG76" s="728"/>
      <c r="AH76" s="728"/>
      <c r="AI76" s="729"/>
    </row>
    <row r="77" spans="1:35" ht="18.75">
      <c r="A77" s="574"/>
      <c r="B77" s="748"/>
      <c r="C77" s="748"/>
      <c r="D77" s="748"/>
      <c r="E77" s="748"/>
      <c r="F77" s="748"/>
      <c r="G77" s="749"/>
      <c r="H77" s="713"/>
      <c r="I77" s="575" t="s">
        <v>118</v>
      </c>
      <c r="J77" s="575" t="s">
        <v>119</v>
      </c>
      <c r="K77" s="576" t="s">
        <v>120</v>
      </c>
      <c r="L77" s="726"/>
      <c r="M77" s="574"/>
      <c r="N77" s="748"/>
      <c r="O77" s="748"/>
      <c r="P77" s="748"/>
      <c r="Q77" s="748"/>
      <c r="R77" s="748"/>
      <c r="S77" s="749"/>
      <c r="T77" s="713"/>
      <c r="U77" s="575" t="s">
        <v>118</v>
      </c>
      <c r="V77" s="575" t="s">
        <v>119</v>
      </c>
      <c r="W77" s="576" t="s">
        <v>120</v>
      </c>
      <c r="X77" s="26"/>
      <c r="Y77" s="574"/>
      <c r="Z77" s="748"/>
      <c r="AA77" s="748"/>
      <c r="AB77" s="748"/>
      <c r="AC77" s="748"/>
      <c r="AD77" s="748"/>
      <c r="AE77" s="749"/>
      <c r="AF77" s="713"/>
      <c r="AG77" s="575" t="s">
        <v>118</v>
      </c>
      <c r="AH77" s="575" t="s">
        <v>119</v>
      </c>
      <c r="AI77" s="576" t="s">
        <v>120</v>
      </c>
    </row>
    <row r="78" spans="1:35" ht="18.75">
      <c r="A78" s="574"/>
      <c r="B78" s="748"/>
      <c r="C78" s="748"/>
      <c r="D78" s="748"/>
      <c r="E78" s="748"/>
      <c r="F78" s="748"/>
      <c r="G78" s="749"/>
      <c r="H78" s="713"/>
      <c r="I78" s="724">
        <f>I56+I34+I9</f>
        <v>20.8704</v>
      </c>
      <c r="J78" s="724">
        <f>J56+J34+J9</f>
        <v>0</v>
      </c>
      <c r="K78" s="725">
        <f>K56+K34+K9</f>
        <v>0</v>
      </c>
      <c r="L78" s="726"/>
      <c r="M78" s="574"/>
      <c r="N78" s="748"/>
      <c r="O78" s="748"/>
      <c r="P78" s="748"/>
      <c r="Q78" s="748"/>
      <c r="R78" s="748"/>
      <c r="S78" s="749"/>
      <c r="T78" s="713"/>
      <c r="U78" s="724">
        <f>U56+U34+U9</f>
        <v>0</v>
      </c>
      <c r="V78" s="724">
        <f>V56+V34+V9</f>
        <v>0</v>
      </c>
      <c r="W78" s="725">
        <f>W56+W34+W9</f>
        <v>0</v>
      </c>
      <c r="X78" s="727"/>
      <c r="Y78" s="574"/>
      <c r="Z78" s="748"/>
      <c r="AA78" s="748"/>
      <c r="AB78" s="748"/>
      <c r="AC78" s="748"/>
      <c r="AD78" s="748"/>
      <c r="AE78" s="749"/>
      <c r="AF78" s="713"/>
      <c r="AG78" s="724">
        <f>AG56+AG34+AG9</f>
        <v>12</v>
      </c>
      <c r="AH78" s="724">
        <f>AH56+AH34+AH9</f>
        <v>0</v>
      </c>
      <c r="AI78" s="725">
        <f>AI56+AI34+AI9</f>
        <v>0</v>
      </c>
    </row>
    <row r="79" spans="1:35" ht="18.75">
      <c r="A79" s="574"/>
      <c r="B79" s="748"/>
      <c r="C79" s="748"/>
      <c r="D79" s="748"/>
      <c r="E79" s="748"/>
      <c r="F79" s="748"/>
      <c r="G79" s="749"/>
      <c r="H79" s="713"/>
      <c r="I79" s="728"/>
      <c r="J79" s="728"/>
      <c r="K79" s="729"/>
      <c r="L79" s="726"/>
      <c r="M79" s="574"/>
      <c r="N79" s="748"/>
      <c r="O79" s="748"/>
      <c r="P79" s="748"/>
      <c r="Q79" s="748"/>
      <c r="R79" s="748"/>
      <c r="S79" s="749"/>
      <c r="T79" s="713"/>
      <c r="U79" s="728"/>
      <c r="V79" s="728"/>
      <c r="W79" s="729"/>
      <c r="X79" s="730"/>
      <c r="Y79" s="574"/>
      <c r="Z79" s="748"/>
      <c r="AA79" s="748"/>
      <c r="AB79" s="748"/>
      <c r="AC79" s="748"/>
      <c r="AD79" s="748"/>
      <c r="AE79" s="749"/>
      <c r="AF79" s="713"/>
      <c r="AG79" s="728"/>
      <c r="AH79" s="728"/>
      <c r="AI79" s="729"/>
    </row>
    <row r="80" spans="1:35" ht="18.75">
      <c r="A80" s="574"/>
      <c r="B80" s="748"/>
      <c r="C80" s="748"/>
      <c r="D80" s="748"/>
      <c r="E80" s="748"/>
      <c r="F80" s="748"/>
      <c r="G80" s="749"/>
      <c r="H80" s="713"/>
      <c r="I80" s="575" t="s">
        <v>121</v>
      </c>
      <c r="J80" s="575" t="s">
        <v>122</v>
      </c>
      <c r="K80" s="576" t="s">
        <v>123</v>
      </c>
      <c r="L80" s="726"/>
      <c r="M80" s="574"/>
      <c r="N80" s="748"/>
      <c r="O80" s="748"/>
      <c r="P80" s="748"/>
      <c r="Q80" s="748"/>
      <c r="R80" s="748"/>
      <c r="S80" s="749"/>
      <c r="T80" s="713"/>
      <c r="U80" s="575" t="s">
        <v>121</v>
      </c>
      <c r="V80" s="575" t="s">
        <v>122</v>
      </c>
      <c r="W80" s="576" t="s">
        <v>123</v>
      </c>
      <c r="X80" s="26"/>
      <c r="Y80" s="574"/>
      <c r="Z80" s="748"/>
      <c r="AA80" s="748"/>
      <c r="AB80" s="748"/>
      <c r="AC80" s="748"/>
      <c r="AD80" s="748"/>
      <c r="AE80" s="749"/>
      <c r="AF80" s="713"/>
      <c r="AG80" s="575" t="s">
        <v>121</v>
      </c>
      <c r="AH80" s="575" t="s">
        <v>122</v>
      </c>
      <c r="AI80" s="576" t="s">
        <v>123</v>
      </c>
    </row>
    <row r="81" spans="1:35" ht="18.75">
      <c r="A81" s="574"/>
      <c r="B81" s="748"/>
      <c r="C81" s="748"/>
      <c r="D81" s="748"/>
      <c r="E81" s="748"/>
      <c r="F81" s="748"/>
      <c r="G81" s="749"/>
      <c r="H81" s="713"/>
      <c r="I81" s="733">
        <f>I59+I37+I12</f>
        <v>0</v>
      </c>
      <c r="J81" s="733">
        <f>J59+J37+J12</f>
        <v>0</v>
      </c>
      <c r="K81" s="734">
        <f>K59+K37+K12</f>
        <v>0</v>
      </c>
      <c r="L81" s="726"/>
      <c r="M81" s="574"/>
      <c r="N81" s="748"/>
      <c r="O81" s="748"/>
      <c r="P81" s="748"/>
      <c r="Q81" s="748"/>
      <c r="R81" s="748"/>
      <c r="S81" s="749"/>
      <c r="T81" s="713"/>
      <c r="U81" s="733">
        <f>U59+U37+U12</f>
        <v>0</v>
      </c>
      <c r="V81" s="733">
        <f>V59+V37+V12</f>
        <v>0</v>
      </c>
      <c r="W81" s="734">
        <f>W59+W37+W12</f>
        <v>0</v>
      </c>
      <c r="X81" s="118"/>
      <c r="Y81" s="574"/>
      <c r="Z81" s="748"/>
      <c r="AA81" s="748"/>
      <c r="AB81" s="748"/>
      <c r="AC81" s="748"/>
      <c r="AD81" s="748"/>
      <c r="AE81" s="749"/>
      <c r="AF81" s="713"/>
      <c r="AG81" s="733">
        <f>AG59+AG37+AG12</f>
        <v>0</v>
      </c>
      <c r="AH81" s="733">
        <f>AH59+AH37+AH12</f>
        <v>0.42899999999999994</v>
      </c>
      <c r="AI81" s="734">
        <f>AI59+AI37+AI12</f>
        <v>0</v>
      </c>
    </row>
    <row r="82" spans="1:35" ht="19.5" thickBot="1">
      <c r="A82" s="760"/>
      <c r="B82" s="761"/>
      <c r="C82" s="761"/>
      <c r="D82" s="761"/>
      <c r="E82" s="761"/>
      <c r="F82" s="761"/>
      <c r="G82" s="761"/>
      <c r="H82" s="761"/>
      <c r="I82" s="761"/>
      <c r="J82" s="761"/>
      <c r="K82" s="762"/>
      <c r="L82" s="726"/>
      <c r="M82" s="760"/>
      <c r="N82" s="761"/>
      <c r="O82" s="761"/>
      <c r="P82" s="761"/>
      <c r="Q82" s="761"/>
      <c r="R82" s="761"/>
      <c r="S82" s="761"/>
      <c r="T82" s="761"/>
      <c r="U82" s="761"/>
      <c r="V82" s="761"/>
      <c r="W82" s="762"/>
      <c r="X82" s="736"/>
      <c r="Y82" s="760"/>
      <c r="Z82" s="761"/>
      <c r="AA82" s="761"/>
      <c r="AB82" s="761"/>
      <c r="AC82" s="761"/>
      <c r="AD82" s="761"/>
      <c r="AE82" s="761"/>
      <c r="AF82" s="761"/>
      <c r="AG82" s="761"/>
      <c r="AH82" s="761"/>
      <c r="AI82" s="762"/>
    </row>
  </sheetData>
  <sheetProtection algorithmName="SHA-512" hashValue="gR+VggP8rdM333zpkPbvp5ZfEPg2AZYbVI++h+9VubVe2OoQYj3WEFwllN8iOhJdgROhUM01IaFzDOCqlzcYSQ==" saltValue="sAkL8mR5WllCmO0hKRcKpg==" spinCount="100000" sheet="1" objects="1" scenarios="1"/>
  <mergeCells count="21">
    <mergeCell ref="Y1:AI1"/>
    <mergeCell ref="Y3:AI3"/>
    <mergeCell ref="Y28:AI28"/>
    <mergeCell ref="Y50:AI50"/>
    <mergeCell ref="AG72:AI72"/>
    <mergeCell ref="A50:K50"/>
    <mergeCell ref="I72:K72"/>
    <mergeCell ref="I14:K19"/>
    <mergeCell ref="M1:W1"/>
    <mergeCell ref="M3:W3"/>
    <mergeCell ref="M28:W28"/>
    <mergeCell ref="M50:W50"/>
    <mergeCell ref="U72:W72"/>
    <mergeCell ref="U14:W19"/>
    <mergeCell ref="L26:L27"/>
    <mergeCell ref="X27:X28"/>
    <mergeCell ref="L48:L49"/>
    <mergeCell ref="X48:X49"/>
    <mergeCell ref="A1:K1"/>
    <mergeCell ref="A28:K28"/>
    <mergeCell ref="A3:K3"/>
  </mergeCells>
  <conditionalFormatting sqref="G5">
    <cfRule type="dataBar" priority="191">
      <dataBar>
        <cfvo type="min"/>
        <cfvo type="max"/>
        <color rgb="FF63C384"/>
      </dataBar>
    </cfRule>
  </conditionalFormatting>
  <conditionalFormatting sqref="G12:G13">
    <cfRule type="dataBar" priority="213">
      <dataBar>
        <cfvo type="min"/>
        <cfvo type="max"/>
        <color rgb="FF63C384"/>
      </dataBar>
    </cfRule>
  </conditionalFormatting>
  <conditionalFormatting sqref="G43">
    <cfRule type="dataBar" priority="177">
      <dataBar>
        <cfvo type="min"/>
        <cfvo type="max"/>
        <color rgb="FF63C384"/>
      </dataBar>
    </cfRule>
  </conditionalFormatting>
  <conditionalFormatting sqref="G37:G38">
    <cfRule type="dataBar" priority="178">
      <dataBar>
        <cfvo type="min"/>
        <cfvo type="max"/>
        <color rgb="FF63C384"/>
      </dataBar>
    </cfRule>
  </conditionalFormatting>
  <conditionalFormatting sqref="G14:G19">
    <cfRule type="dataBar" priority="214">
      <dataBar>
        <cfvo type="min"/>
        <cfvo type="max"/>
        <color rgb="FF63C384"/>
      </dataBar>
    </cfRule>
  </conditionalFormatting>
  <conditionalFormatting sqref="G65">
    <cfRule type="dataBar" priority="123">
      <dataBar>
        <cfvo type="min"/>
        <cfvo type="max"/>
        <color rgb="FF63C384"/>
      </dataBar>
    </cfRule>
  </conditionalFormatting>
  <conditionalFormatting sqref="G23:G24">
    <cfRule type="dataBar" priority="112">
      <dataBar>
        <cfvo type="min"/>
        <cfvo type="max"/>
        <color rgb="FF63C384"/>
      </dataBar>
    </cfRule>
  </conditionalFormatting>
  <conditionalFormatting sqref="G21">
    <cfRule type="dataBar" priority="216">
      <dataBar>
        <cfvo type="min"/>
        <cfvo type="max"/>
        <color rgb="FF63C384"/>
      </dataBar>
    </cfRule>
  </conditionalFormatting>
  <conditionalFormatting sqref="G30">
    <cfRule type="dataBar" priority="90">
      <dataBar>
        <cfvo type="min"/>
        <cfvo type="max"/>
        <color rgb="FF63C384"/>
      </dataBar>
    </cfRule>
  </conditionalFormatting>
  <conditionalFormatting sqref="G52">
    <cfRule type="dataBar" priority="86">
      <dataBar>
        <cfvo type="min"/>
        <cfvo type="max"/>
        <color rgb="FF63C384"/>
      </dataBar>
    </cfRule>
  </conditionalFormatting>
  <conditionalFormatting sqref="S43">
    <cfRule type="dataBar" priority="81">
      <dataBar>
        <cfvo type="min"/>
        <cfvo type="max"/>
        <color rgb="FF63C384"/>
      </dataBar>
    </cfRule>
  </conditionalFormatting>
  <conditionalFormatting sqref="S5">
    <cfRule type="dataBar" priority="76">
      <dataBar>
        <cfvo type="min"/>
        <cfvo type="max"/>
        <color rgb="FF63C384"/>
      </dataBar>
    </cfRule>
  </conditionalFormatting>
  <conditionalFormatting sqref="S12:S13">
    <cfRule type="dataBar" priority="77">
      <dataBar>
        <cfvo type="min"/>
        <cfvo type="max"/>
        <color rgb="FF63C384"/>
      </dataBar>
    </cfRule>
  </conditionalFormatting>
  <conditionalFormatting sqref="S14:S18 S21">
    <cfRule type="dataBar" priority="83">
      <dataBar>
        <cfvo type="min"/>
        <cfvo type="max"/>
        <color rgb="FF63C384"/>
      </dataBar>
    </cfRule>
  </conditionalFormatting>
  <conditionalFormatting sqref="S19:S20">
    <cfRule type="dataBar" priority="72">
      <dataBar>
        <cfvo type="min"/>
        <cfvo type="max"/>
        <color rgb="FF63C384"/>
      </dataBar>
    </cfRule>
  </conditionalFormatting>
  <conditionalFormatting sqref="S30">
    <cfRule type="dataBar" priority="71">
      <dataBar>
        <cfvo type="min"/>
        <cfvo type="max"/>
        <color rgb="FF63C384"/>
      </dataBar>
    </cfRule>
  </conditionalFormatting>
  <conditionalFormatting sqref="S52">
    <cfRule type="dataBar" priority="70">
      <dataBar>
        <cfvo type="min"/>
        <cfvo type="max"/>
        <color rgb="FF63C384"/>
      </dataBar>
    </cfRule>
  </conditionalFormatting>
  <conditionalFormatting sqref="AE12:AE13">
    <cfRule type="dataBar" priority="68">
      <dataBar>
        <cfvo type="min"/>
        <cfvo type="max"/>
        <color rgb="FF63C384"/>
      </dataBar>
    </cfRule>
  </conditionalFormatting>
  <conditionalFormatting sqref="AE43">
    <cfRule type="dataBar" priority="65">
      <dataBar>
        <cfvo type="min"/>
        <cfvo type="max"/>
        <color rgb="FF63C384"/>
      </dataBar>
    </cfRule>
  </conditionalFormatting>
  <conditionalFormatting sqref="AE21 AE18">
    <cfRule type="dataBar" priority="69">
      <dataBar>
        <cfvo type="min"/>
        <cfvo type="max"/>
        <color rgb="FF63C384"/>
      </dataBar>
    </cfRule>
  </conditionalFormatting>
  <conditionalFormatting sqref="AE19">
    <cfRule type="dataBar" priority="59">
      <dataBar>
        <cfvo type="min"/>
        <cfvo type="max"/>
        <color rgb="FF63C384"/>
      </dataBar>
    </cfRule>
  </conditionalFormatting>
  <conditionalFormatting sqref="AE30">
    <cfRule type="dataBar" priority="58">
      <dataBar>
        <cfvo type="min"/>
        <cfvo type="max"/>
        <color rgb="FF63C384"/>
      </dataBar>
    </cfRule>
  </conditionalFormatting>
  <conditionalFormatting sqref="AE5">
    <cfRule type="dataBar" priority="57">
      <dataBar>
        <cfvo type="min"/>
        <cfvo type="max"/>
        <color rgb="FF63C384"/>
      </dataBar>
    </cfRule>
  </conditionalFormatting>
  <conditionalFormatting sqref="AE52">
    <cfRule type="dataBar" priority="56">
      <dataBar>
        <cfvo type="min"/>
        <cfvo type="max"/>
        <color rgb="FF63C384"/>
      </dataBar>
    </cfRule>
  </conditionalFormatting>
  <conditionalFormatting sqref="S37:S38">
    <cfRule type="dataBar" priority="48">
      <dataBar>
        <cfvo type="min"/>
        <cfvo type="max"/>
        <color rgb="FF63C384"/>
      </dataBar>
    </cfRule>
  </conditionalFormatting>
  <conditionalFormatting sqref="S65">
    <cfRule type="dataBar" priority="46">
      <dataBar>
        <cfvo type="min"/>
        <cfvo type="max"/>
        <color rgb="FF63C384"/>
      </dataBar>
    </cfRule>
  </conditionalFormatting>
  <conditionalFormatting sqref="S59:S60">
    <cfRule type="dataBar" priority="44">
      <dataBar>
        <cfvo type="min"/>
        <cfvo type="max"/>
        <color rgb="FF63C384"/>
      </dataBar>
    </cfRule>
  </conditionalFormatting>
  <conditionalFormatting sqref="S61:S64">
    <cfRule type="dataBar" priority="45">
      <dataBar>
        <cfvo type="min"/>
        <cfvo type="max"/>
        <color rgb="FF63C384"/>
      </dataBar>
    </cfRule>
  </conditionalFormatting>
  <conditionalFormatting sqref="AE37:AE38">
    <cfRule type="dataBar" priority="41">
      <dataBar>
        <cfvo type="min"/>
        <cfvo type="max"/>
        <color rgb="FF63C384"/>
      </dataBar>
    </cfRule>
  </conditionalFormatting>
  <conditionalFormatting sqref="AE65">
    <cfRule type="dataBar" priority="39">
      <dataBar>
        <cfvo type="min"/>
        <cfvo type="max"/>
        <color rgb="FF63C384"/>
      </dataBar>
    </cfRule>
  </conditionalFormatting>
  <conditionalFormatting sqref="AE59:AE60">
    <cfRule type="dataBar" priority="37">
      <dataBar>
        <cfvo type="min"/>
        <cfvo type="max"/>
        <color rgb="FF63C384"/>
      </dataBar>
    </cfRule>
  </conditionalFormatting>
  <conditionalFormatting sqref="S6:S11">
    <cfRule type="dataBar" priority="35">
      <dataBar>
        <cfvo type="min"/>
        <cfvo type="max"/>
        <color rgb="FF63C384"/>
      </dataBar>
    </cfRule>
  </conditionalFormatting>
  <conditionalFormatting sqref="G20">
    <cfRule type="dataBar" priority="34">
      <dataBar>
        <cfvo type="min"/>
        <cfvo type="max"/>
        <color rgb="FF63C384"/>
      </dataBar>
    </cfRule>
  </conditionalFormatting>
  <conditionalFormatting sqref="S23:S24">
    <cfRule type="dataBar" priority="33">
      <dataBar>
        <cfvo type="min"/>
        <cfvo type="max"/>
        <color rgb="FF63C384"/>
      </dataBar>
    </cfRule>
  </conditionalFormatting>
  <conditionalFormatting sqref="G39:G42">
    <cfRule type="dataBar" priority="31">
      <dataBar>
        <cfvo type="min"/>
        <cfvo type="max"/>
        <color rgb="FF63C384"/>
      </dataBar>
    </cfRule>
  </conditionalFormatting>
  <conditionalFormatting sqref="G45:G46">
    <cfRule type="dataBar" priority="30">
      <dataBar>
        <cfvo type="min"/>
        <cfvo type="max"/>
        <color rgb="FF63C384"/>
      </dataBar>
    </cfRule>
  </conditionalFormatting>
  <conditionalFormatting sqref="G6:G11">
    <cfRule type="dataBar" priority="25">
      <dataBar>
        <cfvo type="min"/>
        <cfvo type="max"/>
        <color rgb="FF63C384"/>
      </dataBar>
    </cfRule>
  </conditionalFormatting>
  <conditionalFormatting sqref="G59:G60">
    <cfRule type="dataBar" priority="23">
      <dataBar>
        <cfvo type="min"/>
        <cfvo type="max"/>
        <color rgb="FF63C384"/>
      </dataBar>
    </cfRule>
  </conditionalFormatting>
  <conditionalFormatting sqref="G61:G64">
    <cfRule type="dataBar" priority="24">
      <dataBar>
        <cfvo type="min"/>
        <cfvo type="max"/>
        <color rgb="FF63C384"/>
      </dataBar>
    </cfRule>
  </conditionalFormatting>
  <conditionalFormatting sqref="G53:G58">
    <cfRule type="dataBar" priority="22">
      <dataBar>
        <cfvo type="min"/>
        <cfvo type="max"/>
        <color rgb="FF63C384"/>
      </dataBar>
    </cfRule>
  </conditionalFormatting>
  <conditionalFormatting sqref="G31:G36">
    <cfRule type="dataBar" priority="21">
      <dataBar>
        <cfvo type="min"/>
        <cfvo type="max"/>
        <color rgb="FF63C384"/>
      </dataBar>
    </cfRule>
  </conditionalFormatting>
  <conditionalFormatting sqref="G67:G68">
    <cfRule type="dataBar" priority="20">
      <dataBar>
        <cfvo type="min"/>
        <cfvo type="max"/>
        <color rgb="FF63C384"/>
      </dataBar>
    </cfRule>
  </conditionalFormatting>
  <conditionalFormatting sqref="S53:S58">
    <cfRule type="dataBar" priority="18">
      <dataBar>
        <cfvo type="min"/>
        <cfvo type="max"/>
        <color rgb="FF63C384"/>
      </dataBar>
    </cfRule>
  </conditionalFormatting>
  <conditionalFormatting sqref="S39:S42">
    <cfRule type="dataBar" priority="17">
      <dataBar>
        <cfvo type="min"/>
        <cfvo type="max"/>
        <color rgb="FF63C384"/>
      </dataBar>
    </cfRule>
  </conditionalFormatting>
  <conditionalFormatting sqref="S45:S46">
    <cfRule type="dataBar" priority="16">
      <dataBar>
        <cfvo type="min"/>
        <cfvo type="max"/>
        <color rgb="FF63C384"/>
      </dataBar>
    </cfRule>
  </conditionalFormatting>
  <conditionalFormatting sqref="S67:S68">
    <cfRule type="dataBar" priority="15">
      <dataBar>
        <cfvo type="min"/>
        <cfvo type="max"/>
        <color rgb="FF63C384"/>
      </dataBar>
    </cfRule>
  </conditionalFormatting>
  <conditionalFormatting sqref="AE6:AE11">
    <cfRule type="dataBar" priority="14">
      <dataBar>
        <cfvo type="min"/>
        <cfvo type="max"/>
        <color rgb="FF63C384"/>
      </dataBar>
    </cfRule>
  </conditionalFormatting>
  <conditionalFormatting sqref="AE14:AE17">
    <cfRule type="dataBar" priority="13">
      <dataBar>
        <cfvo type="min"/>
        <cfvo type="max"/>
        <color rgb="FF63C384"/>
      </dataBar>
    </cfRule>
  </conditionalFormatting>
  <conditionalFormatting sqref="AE20">
    <cfRule type="dataBar" priority="12">
      <dataBar>
        <cfvo type="min"/>
        <cfvo type="max"/>
        <color rgb="FF63C384"/>
      </dataBar>
    </cfRule>
  </conditionalFormatting>
  <conditionalFormatting sqref="AE23:AE24">
    <cfRule type="dataBar" priority="11">
      <dataBar>
        <cfvo type="min"/>
        <cfvo type="max"/>
        <color rgb="FF63C384"/>
      </dataBar>
    </cfRule>
  </conditionalFormatting>
  <conditionalFormatting sqref="AE39:AE42">
    <cfRule type="dataBar" priority="9">
      <dataBar>
        <cfvo type="min"/>
        <cfvo type="max"/>
        <color rgb="FF63C384"/>
      </dataBar>
    </cfRule>
  </conditionalFormatting>
  <conditionalFormatting sqref="AE45:AE46">
    <cfRule type="dataBar" priority="8">
      <dataBar>
        <cfvo type="min"/>
        <cfvo type="max"/>
        <color rgb="FF63C384"/>
      </dataBar>
    </cfRule>
  </conditionalFormatting>
  <conditionalFormatting sqref="AE54:AE58">
    <cfRule type="dataBar" priority="7">
      <dataBar>
        <cfvo type="min"/>
        <cfvo type="max"/>
        <color rgb="FF63C384"/>
      </dataBar>
    </cfRule>
  </conditionalFormatting>
  <conditionalFormatting sqref="AE53">
    <cfRule type="dataBar" priority="5">
      <dataBar>
        <cfvo type="min"/>
        <cfvo type="max"/>
        <color rgb="FF63C384"/>
      </dataBar>
    </cfRule>
  </conditionalFormatting>
  <conditionalFormatting sqref="AE61:AE64">
    <cfRule type="dataBar" priority="4">
      <dataBar>
        <cfvo type="min"/>
        <cfvo type="max"/>
        <color rgb="FF63C384"/>
      </dataBar>
    </cfRule>
  </conditionalFormatting>
  <conditionalFormatting sqref="AE67:AE68">
    <cfRule type="dataBar" priority="3">
      <dataBar>
        <cfvo type="min"/>
        <cfvo type="max"/>
        <color rgb="FF63C384"/>
      </dataBar>
    </cfRule>
  </conditionalFormatting>
  <conditionalFormatting sqref="S31:S36">
    <cfRule type="dataBar" priority="2">
      <dataBar>
        <cfvo type="min"/>
        <cfvo type="max"/>
        <color rgb="FF63C384"/>
      </dataBar>
    </cfRule>
  </conditionalFormatting>
  <conditionalFormatting sqref="AE31:AE36">
    <cfRule type="dataBar" priority="1">
      <dataBar>
        <cfvo type="min"/>
        <cfvo type="max"/>
        <color rgb="FF63C384"/>
      </dataBar>
    </cfRule>
  </conditionalFormatting>
  <dataValidations count="2">
    <dataValidation type="list" allowBlank="1" showInputMessage="1" showErrorMessage="1" sqref="A24 A68 M46 M24 A46 M68" xr:uid="{00000000-0002-0000-0700-000000000000}">
      <formula1>NitrogenStabilizers</formula1>
    </dataValidation>
    <dataValidation type="list" allowBlank="1" showInputMessage="1" showErrorMessage="1" sqref="M40 M62" xr:uid="{00000000-0002-0000-0700-000001000000}">
      <formula1>Micronutrients</formula1>
    </dataValidation>
  </dataValidations>
  <printOptions horizontalCentered="1"/>
  <pageMargins left="0.7" right="0.7" top="0.75" bottom="0.75" header="0.3" footer="0.3"/>
  <pageSetup scale="42" orientation="portrait" r:id="rId1"/>
  <colBreaks count="1" manualBreakCount="1">
    <brk id="35" max="72" man="1"/>
  </col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700-000005000000}">
          <x14:formula1>
            <xm:f>'Fertilizer Pricing'!$A$31:$A$35</xm:f>
          </x14:formula1>
          <xm:sqref>A14:A17 Y61:Y64 Y39:Y42 Y14:Y17 M14:M17 M41:M42 M61 M39 A39:A42 M63:M64 A61:A64</xm:sqref>
        </x14:dataValidation>
        <x14:dataValidation type="list" allowBlank="1" showInputMessage="1" showErrorMessage="1" xr:uid="{00000000-0002-0000-0700-000006000000}">
          <x14:formula1>
            <xm:f>'Fertilizer Pricing'!$A$47:$A$53</xm:f>
          </x14:formula1>
          <xm:sqref>A23 Y23:Y24 A45 M45 M23 Y45:Y46 Y67:Y68 A67 M67</xm:sqref>
        </x14:dataValidation>
        <x14:dataValidation type="list" allowBlank="1" showInputMessage="1" showErrorMessage="1" xr:uid="{00000000-0002-0000-0700-000007000000}">
          <x14:formula1>
            <xm:f>'Fertilizer Pricing'!$A$39:$A$43</xm:f>
          </x14:formula1>
          <xm:sqref>A20 M20 Y20</xm:sqref>
        </x14:dataValidation>
        <x14:dataValidation type="list" allowBlank="1" showInputMessage="1" showErrorMessage="1" xr:uid="{00000000-0002-0000-0700-000004000000}">
          <x14:formula1>
            <xm:f>'Fertilizer Pricing'!$A$4:$A$27</xm:f>
          </x14:formula1>
          <xm:sqref>Y53:Y58 A31:A36 A53:A58 Y6:Y11 M53:M58 M31:M36 M6:M11 A6:A11 Y31:Y36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dimension ref="A1:AB44"/>
  <sheetViews>
    <sheetView topLeftCell="C1" zoomScale="90" zoomScaleNormal="90" workbookViewId="0">
      <selection activeCell="N22" sqref="N22:O22"/>
    </sheetView>
  </sheetViews>
  <sheetFormatPr defaultColWidth="9.140625" defaultRowHeight="15"/>
  <cols>
    <col min="1" max="1" width="9.140625" style="80"/>
    <col min="2" max="2" width="24.85546875" style="80" bestFit="1" customWidth="1"/>
    <col min="3" max="3" width="15.5703125" style="80" bestFit="1" customWidth="1"/>
    <col min="4" max="4" width="9.140625" style="80"/>
    <col min="5" max="6" width="13.7109375" style="80" bestFit="1" customWidth="1"/>
    <col min="7" max="7" width="13.28515625" style="80" bestFit="1" customWidth="1"/>
    <col min="8" max="8" width="12" style="80" bestFit="1" customWidth="1"/>
    <col min="9" max="9" width="22.28515625" style="80" bestFit="1" customWidth="1"/>
    <col min="10" max="10" width="14" style="80" bestFit="1" customWidth="1"/>
    <col min="11" max="11" width="9.140625" style="80"/>
    <col min="12" max="12" width="27.7109375" style="80" customWidth="1"/>
    <col min="13" max="13" width="12" style="81" bestFit="1" customWidth="1"/>
    <col min="14" max="16" width="11.7109375" style="80" customWidth="1"/>
    <col min="17" max="17" width="12.7109375" style="80" bestFit="1" customWidth="1"/>
    <col min="18" max="18" width="14.28515625" style="80" bestFit="1" customWidth="1"/>
    <col min="19" max="19" width="12.28515625" style="80" bestFit="1" customWidth="1"/>
    <col min="20" max="20" width="10.28515625" style="80" bestFit="1" customWidth="1"/>
    <col min="21" max="21" width="14.28515625" style="80" bestFit="1" customWidth="1"/>
    <col min="22" max="22" width="12.28515625" style="80" bestFit="1" customWidth="1"/>
    <col min="23" max="23" width="8.140625" style="80" customWidth="1"/>
    <col min="24" max="24" width="8" style="80" customWidth="1"/>
    <col min="25" max="28" width="8.85546875" style="80" customWidth="1"/>
    <col min="29" max="16384" width="9.140625" style="80"/>
  </cols>
  <sheetData>
    <row r="1" spans="1:23" ht="15" customHeight="1">
      <c r="A1" s="83"/>
      <c r="B1" s="918" t="s">
        <v>80</v>
      </c>
      <c r="C1" s="919"/>
      <c r="D1" s="919"/>
      <c r="E1" s="919"/>
      <c r="F1" s="919"/>
      <c r="G1" s="919"/>
      <c r="H1" s="919"/>
      <c r="I1" s="919"/>
      <c r="J1" s="920"/>
      <c r="K1" s="83"/>
      <c r="L1" s="83"/>
      <c r="M1" s="90"/>
      <c r="N1" s="83"/>
      <c r="O1" s="83"/>
      <c r="P1" s="83"/>
      <c r="Q1" s="83"/>
      <c r="R1" s="83"/>
      <c r="S1" s="83"/>
      <c r="T1" s="83"/>
      <c r="U1" s="83"/>
      <c r="V1" s="83"/>
      <c r="W1" s="83"/>
    </row>
    <row r="2" spans="1:23" ht="15" customHeight="1">
      <c r="A2" s="83"/>
      <c r="B2" s="921"/>
      <c r="C2" s="922"/>
      <c r="D2" s="922"/>
      <c r="E2" s="922"/>
      <c r="F2" s="922"/>
      <c r="G2" s="922"/>
      <c r="H2" s="922"/>
      <c r="I2" s="922"/>
      <c r="J2" s="923"/>
      <c r="K2" s="83"/>
      <c r="L2" s="83"/>
      <c r="M2" s="90"/>
      <c r="N2" s="83"/>
      <c r="O2" s="83"/>
      <c r="P2" s="83"/>
      <c r="Q2" s="83"/>
      <c r="R2" s="83"/>
      <c r="S2" s="83"/>
      <c r="T2" s="83"/>
      <c r="U2" s="83"/>
      <c r="V2" s="83"/>
      <c r="W2" s="83"/>
    </row>
    <row r="3" spans="1:23" ht="16.5" thickBot="1">
      <c r="A3" s="83"/>
      <c r="B3" s="592"/>
      <c r="C3" s="140"/>
      <c r="D3" s="140"/>
      <c r="E3" s="140"/>
      <c r="F3" s="140"/>
      <c r="G3" s="140"/>
      <c r="H3" s="593"/>
      <c r="I3" s="594" t="s">
        <v>81</v>
      </c>
      <c r="J3" s="595">
        <f>'Crop Budget (Main)'!C15+'Crop Budget (Main)'!G15+'Crop Budget (Main)'!K15</f>
        <v>300</v>
      </c>
      <c r="K3" s="596"/>
      <c r="L3" s="596"/>
      <c r="M3" s="597"/>
      <c r="N3" s="596"/>
      <c r="O3" s="596"/>
      <c r="P3" s="596"/>
      <c r="Q3" s="596"/>
      <c r="R3" s="596"/>
      <c r="S3" s="596"/>
      <c r="T3" s="596"/>
      <c r="U3" s="596"/>
      <c r="V3" s="596"/>
      <c r="W3" s="83"/>
    </row>
    <row r="4" spans="1:23" ht="16.5" thickBot="1">
      <c r="A4" s="83"/>
      <c r="B4" s="924" t="s">
        <v>82</v>
      </c>
      <c r="C4" s="925"/>
      <c r="D4" s="925"/>
      <c r="E4" s="925"/>
      <c r="F4" s="925"/>
      <c r="G4" s="925"/>
      <c r="H4" s="925"/>
      <c r="I4" s="925"/>
      <c r="J4" s="926"/>
      <c r="K4" s="596"/>
      <c r="L4" s="596"/>
      <c r="M4" s="597"/>
      <c r="N4" s="596"/>
      <c r="O4" s="596"/>
      <c r="P4" s="596"/>
      <c r="Q4" s="596"/>
      <c r="R4" s="596"/>
      <c r="S4" s="596"/>
      <c r="T4" s="596"/>
      <c r="U4" s="596"/>
      <c r="V4" s="596"/>
      <c r="W4" s="83"/>
    </row>
    <row r="5" spans="1:23" ht="47.25">
      <c r="A5" s="83"/>
      <c r="B5" s="126" t="s">
        <v>83</v>
      </c>
      <c r="C5" s="598" t="s">
        <v>84</v>
      </c>
      <c r="D5" s="598"/>
      <c r="E5" s="599" t="s">
        <v>85</v>
      </c>
      <c r="F5" s="599" t="s">
        <v>86</v>
      </c>
      <c r="G5" s="600" t="s">
        <v>87</v>
      </c>
      <c r="H5" s="600" t="s">
        <v>88</v>
      </c>
      <c r="I5" s="600" t="s">
        <v>89</v>
      </c>
      <c r="J5" s="601" t="s">
        <v>90</v>
      </c>
      <c r="K5" s="596"/>
      <c r="L5" s="596"/>
      <c r="M5" s="597"/>
      <c r="N5" s="596"/>
      <c r="O5" s="596"/>
      <c r="P5" s="596"/>
      <c r="Q5" s="596"/>
      <c r="R5" s="596"/>
      <c r="S5" s="596"/>
      <c r="T5" s="596"/>
      <c r="U5" s="596"/>
      <c r="V5" s="596"/>
      <c r="W5" s="83"/>
    </row>
    <row r="6" spans="1:23" ht="18.75">
      <c r="A6" s="83"/>
      <c r="B6" s="630" t="s">
        <v>153</v>
      </c>
      <c r="C6" s="631" t="s">
        <v>153</v>
      </c>
      <c r="D6" s="632"/>
      <c r="E6" s="631" t="s">
        <v>153</v>
      </c>
      <c r="F6" s="631" t="s">
        <v>153</v>
      </c>
      <c r="G6" s="600"/>
      <c r="H6" s="600"/>
      <c r="I6" s="600"/>
      <c r="J6" s="601"/>
      <c r="K6" s="596"/>
      <c r="L6" s="927" t="s">
        <v>401</v>
      </c>
      <c r="M6" s="928"/>
      <c r="N6" s="928"/>
      <c r="O6" s="928"/>
      <c r="P6" s="928"/>
      <c r="Q6" s="928"/>
      <c r="R6" s="928"/>
      <c r="S6" s="928"/>
      <c r="T6" s="928"/>
      <c r="U6" s="928"/>
      <c r="V6" s="929"/>
      <c r="W6" s="83"/>
    </row>
    <row r="7" spans="1:23" ht="15.75">
      <c r="B7" s="602" t="s">
        <v>91</v>
      </c>
      <c r="C7" s="603">
        <v>50000</v>
      </c>
      <c r="D7" s="604"/>
      <c r="E7" s="444">
        <v>1</v>
      </c>
      <c r="F7" s="605">
        <v>0.05</v>
      </c>
      <c r="G7" s="261">
        <f>-1*(PMT(F7,E7,C7))</f>
        <v>52499.999999999993</v>
      </c>
      <c r="H7" s="261">
        <f>C7*F7</f>
        <v>2500</v>
      </c>
      <c r="I7" s="606">
        <f>H7/$J$3</f>
        <v>8.3333333333333339</v>
      </c>
      <c r="J7" s="607">
        <f>G7/$J$3</f>
        <v>174.99999999999997</v>
      </c>
      <c r="K7" s="596"/>
      <c r="L7" s="608"/>
      <c r="M7" s="609"/>
      <c r="N7" s="610"/>
      <c r="O7" s="610"/>
      <c r="P7" s="610"/>
      <c r="Q7" s="930" t="s">
        <v>584</v>
      </c>
      <c r="R7" s="931"/>
      <c r="S7" s="932"/>
      <c r="T7" s="930" t="s">
        <v>79</v>
      </c>
      <c r="U7" s="931"/>
      <c r="V7" s="932"/>
      <c r="W7" s="83"/>
    </row>
    <row r="8" spans="1:23" ht="15.75">
      <c r="B8" s="602" t="s">
        <v>92</v>
      </c>
      <c r="C8" s="603">
        <v>0</v>
      </c>
      <c r="D8" s="604"/>
      <c r="E8" s="444">
        <v>1</v>
      </c>
      <c r="F8" s="611">
        <v>3.5000000000000003E-2</v>
      </c>
      <c r="G8" s="261">
        <f>-1*(PMT(F8,E8,C8))</f>
        <v>0</v>
      </c>
      <c r="H8" s="261">
        <f>C8*F8</f>
        <v>0</v>
      </c>
      <c r="I8" s="606">
        <f>H8/$J$3</f>
        <v>0</v>
      </c>
      <c r="J8" s="607">
        <f>G8/$J$3</f>
        <v>0</v>
      </c>
      <c r="K8" s="596"/>
      <c r="L8" s="612"/>
      <c r="M8" s="609"/>
      <c r="N8" s="933" t="s">
        <v>303</v>
      </c>
      <c r="O8" s="933" t="s">
        <v>304</v>
      </c>
      <c r="P8" s="934" t="s">
        <v>305</v>
      </c>
      <c r="Q8" s="613" t="s">
        <v>585</v>
      </c>
      <c r="R8" s="614" t="s">
        <v>586</v>
      </c>
      <c r="S8" s="615" t="s">
        <v>587</v>
      </c>
      <c r="T8" s="613" t="s">
        <v>585</v>
      </c>
      <c r="U8" s="614" t="s">
        <v>586</v>
      </c>
      <c r="V8" s="615" t="s">
        <v>587</v>
      </c>
      <c r="W8" s="83"/>
    </row>
    <row r="9" spans="1:23" ht="15.75">
      <c r="B9" s="602" t="s">
        <v>93</v>
      </c>
      <c r="C9" s="603">
        <v>0</v>
      </c>
      <c r="D9" s="604"/>
      <c r="E9" s="444">
        <v>1</v>
      </c>
      <c r="F9" s="611">
        <v>0</v>
      </c>
      <c r="G9" s="261">
        <f>-1*(PMT(F9,E9,C9))</f>
        <v>0</v>
      </c>
      <c r="H9" s="261">
        <f>C9*F9</f>
        <v>0</v>
      </c>
      <c r="I9" s="606">
        <f>H9/$J$3</f>
        <v>0</v>
      </c>
      <c r="J9" s="607">
        <f>G9/$J$3</f>
        <v>0</v>
      </c>
      <c r="K9" s="596"/>
      <c r="L9" s="355" t="s">
        <v>413</v>
      </c>
      <c r="M9" s="616" t="s">
        <v>588</v>
      </c>
      <c r="N9" s="933"/>
      <c r="O9" s="933"/>
      <c r="P9" s="934"/>
      <c r="Q9" s="612"/>
      <c r="R9" s="596"/>
      <c r="S9" s="617"/>
      <c r="T9" s="612"/>
      <c r="U9" s="596"/>
      <c r="V9" s="617"/>
      <c r="W9" s="83"/>
    </row>
    <row r="10" spans="1:23" ht="15.75">
      <c r="B10" s="602"/>
      <c r="C10" s="603">
        <v>0</v>
      </c>
      <c r="D10" s="604"/>
      <c r="E10" s="444">
        <v>1</v>
      </c>
      <c r="F10" s="611">
        <v>0</v>
      </c>
      <c r="G10" s="261">
        <f>-1*(PMT(F10,E10,C10))</f>
        <v>0</v>
      </c>
      <c r="H10" s="261">
        <f>C10*F10</f>
        <v>0</v>
      </c>
      <c r="I10" s="606">
        <f>H10/$J$3</f>
        <v>0</v>
      </c>
      <c r="J10" s="607">
        <f>G10/$J$3</f>
        <v>0</v>
      </c>
      <c r="K10" s="596"/>
      <c r="L10" s="356" t="s">
        <v>403</v>
      </c>
      <c r="M10" s="92">
        <f>H13</f>
        <v>2500</v>
      </c>
      <c r="N10" s="618">
        <f>'Crop Budget (Main)'!$C$15</f>
        <v>100</v>
      </c>
      <c r="O10" s="618">
        <f>'Crop Budget (Main)'!$G$15</f>
        <v>100</v>
      </c>
      <c r="P10" s="618">
        <f>'Crop Budget (Main)'!$K$15</f>
        <v>100</v>
      </c>
      <c r="Q10" s="283">
        <f>M10/(N10+O10+P10)*N10</f>
        <v>833.33333333333337</v>
      </c>
      <c r="R10" s="94">
        <f>M10/(N10+O10+P10)*O10</f>
        <v>833.33333333333337</v>
      </c>
      <c r="S10" s="351">
        <f>M10/(N10+O10+P10)*P10</f>
        <v>833.33333333333337</v>
      </c>
      <c r="T10" s="283">
        <f t="shared" ref="T10:V12" si="0">Q10/N10</f>
        <v>8.3333333333333339</v>
      </c>
      <c r="U10" s="94">
        <f t="shared" si="0"/>
        <v>8.3333333333333339</v>
      </c>
      <c r="V10" s="351">
        <f t="shared" si="0"/>
        <v>8.3333333333333339</v>
      </c>
      <c r="W10" s="83"/>
    </row>
    <row r="11" spans="1:23" ht="15.75">
      <c r="B11" s="602"/>
      <c r="C11" s="603">
        <v>0</v>
      </c>
      <c r="D11" s="604"/>
      <c r="E11" s="444">
        <v>1</v>
      </c>
      <c r="F11" s="611">
        <v>0</v>
      </c>
      <c r="G11" s="261">
        <f t="shared" ref="G11:G12" si="1">-1*(PMT(F11,E11,C11))</f>
        <v>0</v>
      </c>
      <c r="H11" s="261">
        <f t="shared" ref="H11:H12" si="2">C11*F11</f>
        <v>0</v>
      </c>
      <c r="I11" s="606">
        <f t="shared" ref="I11:I12" si="3">H11/$J$3</f>
        <v>0</v>
      </c>
      <c r="J11" s="607">
        <f t="shared" ref="J11:J12" si="4">G11/$J$3</f>
        <v>0</v>
      </c>
      <c r="K11" s="596"/>
      <c r="L11" s="619" t="s">
        <v>402</v>
      </c>
      <c r="M11" s="92">
        <f>H29</f>
        <v>9240</v>
      </c>
      <c r="N11" s="618">
        <f>'Crop Budget (Main)'!$C$15</f>
        <v>100</v>
      </c>
      <c r="O11" s="618">
        <f>'Crop Budget (Main)'!$G$15</f>
        <v>100</v>
      </c>
      <c r="P11" s="618">
        <f>'Crop Budget (Main)'!$K$15</f>
        <v>100</v>
      </c>
      <c r="Q11" s="283">
        <f>M11/(N11+O11+P11)*N11</f>
        <v>3080</v>
      </c>
      <c r="R11" s="94">
        <f>M11/(N11+O11+P11)*O11</f>
        <v>3080</v>
      </c>
      <c r="S11" s="351">
        <f>M11/(N11+O11+P11)*P11</f>
        <v>3080</v>
      </c>
      <c r="T11" s="283">
        <f t="shared" si="0"/>
        <v>30.8</v>
      </c>
      <c r="U11" s="94">
        <f t="shared" si="0"/>
        <v>30.8</v>
      </c>
      <c r="V11" s="351">
        <f t="shared" si="0"/>
        <v>30.8</v>
      </c>
      <c r="W11" s="83"/>
    </row>
    <row r="12" spans="1:23" ht="15.75">
      <c r="B12" s="602"/>
      <c r="C12" s="603">
        <v>0</v>
      </c>
      <c r="D12" s="604"/>
      <c r="E12" s="444">
        <v>1</v>
      </c>
      <c r="F12" s="611">
        <v>0</v>
      </c>
      <c r="G12" s="261">
        <f t="shared" si="1"/>
        <v>0</v>
      </c>
      <c r="H12" s="261">
        <f t="shared" si="2"/>
        <v>0</v>
      </c>
      <c r="I12" s="606">
        <f t="shared" si="3"/>
        <v>0</v>
      </c>
      <c r="J12" s="607">
        <f t="shared" si="4"/>
        <v>0</v>
      </c>
      <c r="K12" s="596"/>
      <c r="L12" s="356" t="s">
        <v>405</v>
      </c>
      <c r="M12" s="95">
        <f>H42</f>
        <v>0</v>
      </c>
      <c r="N12" s="618">
        <f>'Crop Budget (Main)'!$C$15</f>
        <v>100</v>
      </c>
      <c r="O12" s="618">
        <f>'Crop Budget (Main)'!$G$15</f>
        <v>100</v>
      </c>
      <c r="P12" s="618">
        <f>'Crop Budget (Main)'!$K$15</f>
        <v>100</v>
      </c>
      <c r="Q12" s="283">
        <f>M12/(N12+O12+P12)*N12</f>
        <v>0</v>
      </c>
      <c r="R12" s="94">
        <f>M12/(N12+O12+P12)*O12</f>
        <v>0</v>
      </c>
      <c r="S12" s="351">
        <f>M12/(N12+O12+P12)*P12</f>
        <v>0</v>
      </c>
      <c r="T12" s="283">
        <f t="shared" si="0"/>
        <v>0</v>
      </c>
      <c r="U12" s="94">
        <f t="shared" si="0"/>
        <v>0</v>
      </c>
      <c r="V12" s="351">
        <f t="shared" si="0"/>
        <v>0</v>
      </c>
      <c r="W12" s="83"/>
    </row>
    <row r="13" spans="1:23" ht="15.75">
      <c r="B13" s="126" t="s">
        <v>94</v>
      </c>
      <c r="C13" s="598"/>
      <c r="D13" s="598"/>
      <c r="E13" s="620"/>
      <c r="F13" s="620"/>
      <c r="G13" s="620">
        <f>SUM(G7:G12)</f>
        <v>52499.999999999993</v>
      </c>
      <c r="H13" s="620">
        <f>SUM(H7:H12)</f>
        <v>2500</v>
      </c>
      <c r="I13" s="620">
        <f>SUM(I7:I12)</f>
        <v>8.3333333333333339</v>
      </c>
      <c r="J13" s="621">
        <f>SUM(J7:J12)</f>
        <v>174.99999999999997</v>
      </c>
      <c r="K13" s="596"/>
      <c r="L13" s="357" t="s">
        <v>400</v>
      </c>
      <c r="M13" s="597"/>
      <c r="N13" s="597"/>
      <c r="O13" s="597"/>
      <c r="P13" s="597"/>
      <c r="Q13" s="612"/>
      <c r="R13" s="596"/>
      <c r="S13" s="617"/>
      <c r="T13" s="612"/>
      <c r="U13" s="596"/>
      <c r="V13" s="617"/>
      <c r="W13" s="83"/>
    </row>
    <row r="14" spans="1:23" ht="16.5" thickBot="1">
      <c r="B14" s="622"/>
      <c r="C14" s="596"/>
      <c r="D14" s="596"/>
      <c r="E14" s="596"/>
      <c r="F14" s="596"/>
      <c r="G14" s="596"/>
      <c r="H14" s="596"/>
      <c r="I14" s="596"/>
      <c r="J14" s="623"/>
      <c r="K14" s="596"/>
      <c r="L14" s="619" t="s">
        <v>404</v>
      </c>
      <c r="M14" s="95">
        <f>G29-H29</f>
        <v>19898.41684450458</v>
      </c>
      <c r="N14" s="618">
        <f>'Crop Budget (Main)'!$C$15</f>
        <v>100</v>
      </c>
      <c r="O14" s="618">
        <f>'Crop Budget (Main)'!$G$15</f>
        <v>100</v>
      </c>
      <c r="P14" s="618">
        <f>'Crop Budget (Main)'!$K$15</f>
        <v>100</v>
      </c>
      <c r="Q14" s="283">
        <f>M14/(N14+O14+P14)*N14</f>
        <v>6632.8056148348596</v>
      </c>
      <c r="R14" s="94">
        <f>M14/(N14+O14+P14)*O14</f>
        <v>6632.8056148348596</v>
      </c>
      <c r="S14" s="351">
        <f>M14/(N14+O14+P14)*P14</f>
        <v>6632.8056148348596</v>
      </c>
      <c r="T14" s="283">
        <f t="shared" ref="T14:V15" si="5">Q14/N14</f>
        <v>66.328056148348594</v>
      </c>
      <c r="U14" s="94">
        <f t="shared" si="5"/>
        <v>66.328056148348594</v>
      </c>
      <c r="V14" s="351">
        <f t="shared" si="5"/>
        <v>66.328056148348594</v>
      </c>
      <c r="W14" s="83"/>
    </row>
    <row r="15" spans="1:23" ht="16.5" thickBot="1">
      <c r="B15" s="924" t="s">
        <v>95</v>
      </c>
      <c r="C15" s="925"/>
      <c r="D15" s="925"/>
      <c r="E15" s="925"/>
      <c r="F15" s="925"/>
      <c r="G15" s="925"/>
      <c r="H15" s="925"/>
      <c r="I15" s="925"/>
      <c r="J15" s="926"/>
      <c r="K15" s="596"/>
      <c r="L15" s="624" t="s">
        <v>406</v>
      </c>
      <c r="M15" s="358">
        <f>G42-H42</f>
        <v>0</v>
      </c>
      <c r="N15" s="625">
        <f>'Crop Budget (Main)'!$C$15</f>
        <v>100</v>
      </c>
      <c r="O15" s="625">
        <f>'Crop Budget (Main)'!$G$15</f>
        <v>100</v>
      </c>
      <c r="P15" s="625">
        <f>'Crop Budget (Main)'!$K$15</f>
        <v>100</v>
      </c>
      <c r="Q15" s="352">
        <f>M15/(N15+O15+P15)*N15</f>
        <v>0</v>
      </c>
      <c r="R15" s="353">
        <f>M15/(N15+O15+P15)*O15</f>
        <v>0</v>
      </c>
      <c r="S15" s="354">
        <f>M15/(N15+O15+P15)*P15</f>
        <v>0</v>
      </c>
      <c r="T15" s="352">
        <f t="shared" si="5"/>
        <v>0</v>
      </c>
      <c r="U15" s="353">
        <f t="shared" si="5"/>
        <v>0</v>
      </c>
      <c r="V15" s="354">
        <f t="shared" si="5"/>
        <v>0</v>
      </c>
      <c r="W15" s="83"/>
    </row>
    <row r="16" spans="1:23" ht="47.25">
      <c r="B16" s="126" t="s">
        <v>83</v>
      </c>
      <c r="C16" s="598" t="s">
        <v>84</v>
      </c>
      <c r="D16" s="598"/>
      <c r="E16" s="599" t="s">
        <v>85</v>
      </c>
      <c r="F16" s="599" t="s">
        <v>86</v>
      </c>
      <c r="G16" s="600" t="s">
        <v>87</v>
      </c>
      <c r="H16" s="600" t="s">
        <v>88</v>
      </c>
      <c r="I16" s="600" t="s">
        <v>89</v>
      </c>
      <c r="J16" s="601" t="s">
        <v>90</v>
      </c>
      <c r="K16" s="596"/>
      <c r="L16" s="596"/>
      <c r="M16" s="597"/>
      <c r="N16" s="596"/>
      <c r="O16" s="596"/>
      <c r="P16" s="596"/>
      <c r="Q16" s="596"/>
      <c r="R16" s="596"/>
      <c r="S16" s="596"/>
      <c r="T16" s="596"/>
      <c r="U16" s="596"/>
      <c r="V16" s="596"/>
      <c r="W16" s="83"/>
    </row>
    <row r="17" spans="2:28" ht="15.75">
      <c r="B17" s="630" t="s">
        <v>153</v>
      </c>
      <c r="C17" s="631" t="s">
        <v>153</v>
      </c>
      <c r="D17" s="632"/>
      <c r="E17" s="631" t="s">
        <v>153</v>
      </c>
      <c r="F17" s="631" t="s">
        <v>153</v>
      </c>
      <c r="G17" s="600"/>
      <c r="H17" s="600"/>
      <c r="I17" s="600"/>
      <c r="J17" s="601"/>
      <c r="K17" s="596"/>
      <c r="L17" s="596"/>
      <c r="M17" s="597"/>
      <c r="N17" s="596"/>
      <c r="O17" s="596"/>
      <c r="P17" s="596"/>
      <c r="Q17" s="596"/>
      <c r="R17" s="596"/>
      <c r="S17" s="596"/>
      <c r="T17" s="596"/>
      <c r="U17" s="596"/>
      <c r="V17" s="596"/>
      <c r="W17" s="83"/>
    </row>
    <row r="18" spans="2:28" ht="15.75">
      <c r="B18" s="602" t="s">
        <v>96</v>
      </c>
      <c r="C18" s="603">
        <v>165000</v>
      </c>
      <c r="D18" s="604"/>
      <c r="E18" s="444">
        <v>7</v>
      </c>
      <c r="F18" s="611">
        <v>5.6000000000000001E-2</v>
      </c>
      <c r="G18" s="261">
        <f t="shared" ref="G18:G28" si="6">-1*(PMT(F18,E18,C18))</f>
        <v>29138.41684450458</v>
      </c>
      <c r="H18" s="261">
        <f t="shared" ref="H18:H28" si="7">C18*F18</f>
        <v>9240</v>
      </c>
      <c r="I18" s="606">
        <f t="shared" ref="I18:I28" si="8">H18/$J$3</f>
        <v>30.8</v>
      </c>
      <c r="J18" s="607">
        <f>G18/$J$3</f>
        <v>97.128056148348605</v>
      </c>
      <c r="K18" s="596"/>
      <c r="L18" s="596"/>
      <c r="M18" s="597"/>
      <c r="N18" s="610"/>
      <c r="O18" s="610"/>
      <c r="P18" s="610"/>
      <c r="Q18" s="626"/>
      <c r="R18" s="626"/>
      <c r="S18" s="626"/>
      <c r="T18" s="596"/>
      <c r="U18" s="596"/>
      <c r="V18" s="596"/>
      <c r="W18" s="83"/>
    </row>
    <row r="19" spans="2:28" ht="15.75">
      <c r="B19" s="602" t="s">
        <v>633</v>
      </c>
      <c r="C19" s="603">
        <v>0</v>
      </c>
      <c r="D19" s="604"/>
      <c r="E19" s="444">
        <v>5</v>
      </c>
      <c r="F19" s="611">
        <v>0.06</v>
      </c>
      <c r="G19" s="261">
        <f t="shared" si="6"/>
        <v>0</v>
      </c>
      <c r="H19" s="261">
        <f t="shared" si="7"/>
        <v>0</v>
      </c>
      <c r="I19" s="606">
        <f t="shared" si="8"/>
        <v>0</v>
      </c>
      <c r="J19" s="607">
        <f t="shared" ref="J19:J28" si="9">G19/$J$3</f>
        <v>0</v>
      </c>
      <c r="K19" s="596"/>
      <c r="L19" s="596"/>
      <c r="M19" s="597"/>
      <c r="N19" s="610"/>
      <c r="O19" s="610"/>
      <c r="P19" s="610"/>
      <c r="Q19" s="596"/>
      <c r="R19" s="596"/>
      <c r="S19" s="73"/>
      <c r="T19" s="596"/>
      <c r="U19" s="596"/>
      <c r="V19" s="596"/>
      <c r="W19" s="83"/>
    </row>
    <row r="20" spans="2:28" ht="15.75">
      <c r="B20" s="602"/>
      <c r="C20" s="603">
        <v>0</v>
      </c>
      <c r="D20" s="604"/>
      <c r="E20" s="444">
        <v>1</v>
      </c>
      <c r="F20" s="611">
        <v>0</v>
      </c>
      <c r="G20" s="261">
        <f t="shared" si="6"/>
        <v>0</v>
      </c>
      <c r="H20" s="261">
        <f t="shared" si="7"/>
        <v>0</v>
      </c>
      <c r="I20" s="606">
        <f t="shared" si="8"/>
        <v>0</v>
      </c>
      <c r="J20" s="607">
        <f t="shared" si="9"/>
        <v>0</v>
      </c>
      <c r="K20" s="596"/>
      <c r="L20" s="596"/>
      <c r="M20" s="597"/>
      <c r="N20" s="610"/>
      <c r="O20" s="610"/>
      <c r="P20" s="610"/>
      <c r="Q20" s="618"/>
      <c r="R20" s="618"/>
      <c r="S20" s="618"/>
      <c r="T20" s="596"/>
      <c r="U20" s="596"/>
      <c r="V20" s="596"/>
      <c r="W20" s="87"/>
      <c r="X20" s="82"/>
      <c r="Y20" s="82"/>
      <c r="Z20" s="82"/>
      <c r="AA20" s="82"/>
      <c r="AB20" s="82"/>
    </row>
    <row r="21" spans="2:28" ht="15.75">
      <c r="B21" s="602"/>
      <c r="C21" s="603">
        <v>0</v>
      </c>
      <c r="D21" s="604"/>
      <c r="E21" s="444">
        <v>1</v>
      </c>
      <c r="F21" s="611">
        <v>0</v>
      </c>
      <c r="G21" s="261">
        <f t="shared" si="6"/>
        <v>0</v>
      </c>
      <c r="H21" s="261">
        <f t="shared" si="7"/>
        <v>0</v>
      </c>
      <c r="I21" s="606">
        <f t="shared" si="8"/>
        <v>0</v>
      </c>
      <c r="J21" s="607">
        <f t="shared" si="9"/>
        <v>0</v>
      </c>
      <c r="K21" s="596"/>
      <c r="L21" s="596"/>
      <c r="M21" s="597"/>
      <c r="N21" s="610"/>
      <c r="O21" s="610"/>
      <c r="P21" s="610"/>
      <c r="Q21" s="618"/>
      <c r="R21" s="618"/>
      <c r="S21" s="618"/>
      <c r="T21" s="596"/>
      <c r="U21" s="596"/>
      <c r="V21" s="596"/>
      <c r="W21" s="83"/>
    </row>
    <row r="22" spans="2:28" ht="15.75">
      <c r="B22" s="602"/>
      <c r="C22" s="603">
        <v>0</v>
      </c>
      <c r="D22" s="604"/>
      <c r="E22" s="444">
        <v>1</v>
      </c>
      <c r="F22" s="611">
        <v>0</v>
      </c>
      <c r="G22" s="261">
        <f t="shared" si="6"/>
        <v>0</v>
      </c>
      <c r="H22" s="261">
        <f t="shared" si="7"/>
        <v>0</v>
      </c>
      <c r="I22" s="606">
        <f t="shared" si="8"/>
        <v>0</v>
      </c>
      <c r="J22" s="607">
        <f t="shared" si="9"/>
        <v>0</v>
      </c>
      <c r="K22" s="596"/>
      <c r="L22" s="596"/>
      <c r="M22" s="597"/>
      <c r="N22" s="610"/>
      <c r="O22" s="610"/>
      <c r="P22" s="610"/>
      <c r="Q22" s="618"/>
      <c r="R22" s="618"/>
      <c r="S22" s="618"/>
      <c r="T22" s="596"/>
      <c r="U22" s="596"/>
      <c r="V22" s="596"/>
      <c r="W22" s="83"/>
    </row>
    <row r="23" spans="2:28" ht="15.75">
      <c r="B23" s="602"/>
      <c r="C23" s="603">
        <v>0</v>
      </c>
      <c r="D23" s="604"/>
      <c r="E23" s="444">
        <v>1</v>
      </c>
      <c r="F23" s="611">
        <v>0</v>
      </c>
      <c r="G23" s="261">
        <f t="shared" si="6"/>
        <v>0</v>
      </c>
      <c r="H23" s="261">
        <f t="shared" si="7"/>
        <v>0</v>
      </c>
      <c r="I23" s="606">
        <f t="shared" si="8"/>
        <v>0</v>
      </c>
      <c r="J23" s="607">
        <f t="shared" si="9"/>
        <v>0</v>
      </c>
      <c r="K23" s="596"/>
      <c r="L23" s="596"/>
      <c r="M23" s="597"/>
      <c r="N23" s="610"/>
      <c r="O23" s="610"/>
      <c r="P23" s="610"/>
      <c r="Q23" s="627"/>
      <c r="R23" s="627"/>
      <c r="S23" s="627"/>
      <c r="T23" s="596"/>
      <c r="U23" s="596"/>
      <c r="V23" s="596"/>
      <c r="W23" s="83"/>
    </row>
    <row r="24" spans="2:28" ht="15.75">
      <c r="B24" s="602"/>
      <c r="C24" s="603">
        <v>0</v>
      </c>
      <c r="D24" s="604"/>
      <c r="E24" s="444">
        <v>1</v>
      </c>
      <c r="F24" s="611">
        <v>0</v>
      </c>
      <c r="G24" s="261">
        <f t="shared" si="6"/>
        <v>0</v>
      </c>
      <c r="H24" s="261">
        <f t="shared" si="7"/>
        <v>0</v>
      </c>
      <c r="I24" s="606">
        <f t="shared" si="8"/>
        <v>0</v>
      </c>
      <c r="J24" s="607">
        <f t="shared" si="9"/>
        <v>0</v>
      </c>
      <c r="K24" s="596"/>
      <c r="L24" s="596"/>
      <c r="M24" s="597"/>
      <c r="N24" s="610"/>
      <c r="O24" s="610"/>
      <c r="P24" s="610"/>
      <c r="Q24" s="628"/>
      <c r="R24" s="628"/>
      <c r="S24" s="628"/>
      <c r="T24" s="596"/>
      <c r="U24" s="596"/>
      <c r="V24" s="596"/>
      <c r="W24" s="83"/>
    </row>
    <row r="25" spans="2:28" ht="15.75">
      <c r="B25" s="602"/>
      <c r="C25" s="603">
        <v>0</v>
      </c>
      <c r="D25" s="604"/>
      <c r="E25" s="444">
        <v>1</v>
      </c>
      <c r="F25" s="611">
        <v>0</v>
      </c>
      <c r="G25" s="261">
        <f t="shared" si="6"/>
        <v>0</v>
      </c>
      <c r="H25" s="261">
        <f t="shared" si="7"/>
        <v>0</v>
      </c>
      <c r="I25" s="606">
        <f t="shared" si="8"/>
        <v>0</v>
      </c>
      <c r="J25" s="607">
        <f t="shared" si="9"/>
        <v>0</v>
      </c>
      <c r="K25" s="596"/>
      <c r="L25" s="596"/>
      <c r="M25" s="597"/>
      <c r="N25" s="610"/>
      <c r="O25" s="610"/>
      <c r="P25" s="610"/>
      <c r="Q25" s="143"/>
      <c r="R25" s="143"/>
      <c r="S25" s="143"/>
      <c r="T25" s="596"/>
      <c r="U25" s="596"/>
      <c r="V25" s="596"/>
      <c r="W25" s="83"/>
    </row>
    <row r="26" spans="2:28" ht="15.75">
      <c r="B26" s="602"/>
      <c r="C26" s="603">
        <v>0</v>
      </c>
      <c r="D26" s="604"/>
      <c r="E26" s="444">
        <v>1</v>
      </c>
      <c r="F26" s="611">
        <v>0</v>
      </c>
      <c r="G26" s="261">
        <f t="shared" si="6"/>
        <v>0</v>
      </c>
      <c r="H26" s="261">
        <f t="shared" si="7"/>
        <v>0</v>
      </c>
      <c r="I26" s="606">
        <f t="shared" si="8"/>
        <v>0</v>
      </c>
      <c r="J26" s="607">
        <f t="shared" si="9"/>
        <v>0</v>
      </c>
      <c r="K26" s="596"/>
      <c r="L26" s="596"/>
      <c r="M26" s="597"/>
      <c r="N26" s="596"/>
      <c r="O26" s="596"/>
      <c r="P26" s="596"/>
      <c r="Q26" s="629"/>
      <c r="R26" s="629"/>
      <c r="S26" s="629"/>
      <c r="T26" s="596"/>
      <c r="U26" s="596"/>
      <c r="V26" s="596"/>
      <c r="W26" s="83"/>
    </row>
    <row r="27" spans="2:28" ht="15.75">
      <c r="B27" s="602"/>
      <c r="C27" s="603">
        <v>0</v>
      </c>
      <c r="D27" s="604"/>
      <c r="E27" s="444">
        <v>1</v>
      </c>
      <c r="F27" s="611">
        <v>0</v>
      </c>
      <c r="G27" s="261">
        <f t="shared" si="6"/>
        <v>0</v>
      </c>
      <c r="H27" s="261">
        <f t="shared" si="7"/>
        <v>0</v>
      </c>
      <c r="I27" s="606">
        <f t="shared" si="8"/>
        <v>0</v>
      </c>
      <c r="J27" s="607">
        <f t="shared" si="9"/>
        <v>0</v>
      </c>
      <c r="K27" s="596"/>
      <c r="L27" s="596"/>
      <c r="M27" s="597"/>
      <c r="N27" s="596"/>
      <c r="O27" s="596"/>
      <c r="P27" s="596"/>
      <c r="Q27" s="610"/>
      <c r="R27" s="610"/>
      <c r="S27" s="610"/>
      <c r="T27" s="596"/>
      <c r="U27" s="596"/>
      <c r="V27" s="596"/>
      <c r="W27" s="83"/>
    </row>
    <row r="28" spans="2:28" ht="15.75">
      <c r="B28" s="602"/>
      <c r="C28" s="603">
        <v>0</v>
      </c>
      <c r="D28" s="604"/>
      <c r="E28" s="444">
        <v>1</v>
      </c>
      <c r="F28" s="611">
        <v>0</v>
      </c>
      <c r="G28" s="261">
        <f t="shared" si="6"/>
        <v>0</v>
      </c>
      <c r="H28" s="261">
        <f t="shared" si="7"/>
        <v>0</v>
      </c>
      <c r="I28" s="606">
        <f t="shared" si="8"/>
        <v>0</v>
      </c>
      <c r="J28" s="607">
        <f t="shared" si="9"/>
        <v>0</v>
      </c>
      <c r="K28" s="596"/>
      <c r="L28" s="596"/>
      <c r="M28" s="597"/>
      <c r="N28" s="596"/>
      <c r="O28" s="596"/>
      <c r="P28" s="596"/>
      <c r="Q28" s="610"/>
      <c r="R28" s="610"/>
      <c r="S28" s="610"/>
      <c r="T28" s="596"/>
      <c r="U28" s="596"/>
      <c r="V28" s="596"/>
      <c r="W28" s="83"/>
    </row>
    <row r="29" spans="2:28" ht="15.75">
      <c r="B29" s="126" t="s">
        <v>94</v>
      </c>
      <c r="C29" s="598"/>
      <c r="D29" s="598"/>
      <c r="E29" s="620"/>
      <c r="F29" s="620"/>
      <c r="G29" s="620">
        <f>SUM(G18:G28)</f>
        <v>29138.41684450458</v>
      </c>
      <c r="H29" s="620">
        <f>SUM(H18:H28)</f>
        <v>9240</v>
      </c>
      <c r="I29" s="620">
        <f>SUM(I18:I28)</f>
        <v>30.8</v>
      </c>
      <c r="J29" s="621">
        <f>SUM(J18:J28)</f>
        <v>97.128056148348605</v>
      </c>
      <c r="K29" s="596"/>
      <c r="L29" s="596"/>
      <c r="M29" s="597"/>
      <c r="N29" s="596"/>
      <c r="O29" s="596"/>
      <c r="P29" s="596"/>
      <c r="Q29" s="610"/>
      <c r="R29" s="610"/>
      <c r="S29" s="610"/>
      <c r="T29" s="596"/>
      <c r="U29" s="596"/>
      <c r="V29" s="596"/>
      <c r="W29" s="83"/>
    </row>
    <row r="30" spans="2:28" ht="16.5" thickBot="1">
      <c r="B30" s="35"/>
      <c r="C30" s="73"/>
      <c r="D30" s="73"/>
      <c r="E30" s="600"/>
      <c r="F30" s="600"/>
      <c r="G30" s="600"/>
      <c r="H30" s="600"/>
      <c r="I30" s="600"/>
      <c r="J30" s="601"/>
      <c r="K30" s="596"/>
      <c r="L30" s="596"/>
      <c r="M30" s="597"/>
      <c r="N30" s="596"/>
      <c r="O30" s="596"/>
      <c r="P30" s="596"/>
      <c r="Q30" s="610"/>
      <c r="R30" s="610"/>
      <c r="S30" s="610"/>
      <c r="T30" s="596"/>
      <c r="U30" s="596"/>
      <c r="V30" s="596"/>
      <c r="W30" s="83"/>
    </row>
    <row r="31" spans="2:28" ht="16.5" thickBot="1">
      <c r="B31" s="924" t="s">
        <v>135</v>
      </c>
      <c r="C31" s="925"/>
      <c r="D31" s="925"/>
      <c r="E31" s="925"/>
      <c r="F31" s="925"/>
      <c r="G31" s="925"/>
      <c r="H31" s="925"/>
      <c r="I31" s="925"/>
      <c r="J31" s="926"/>
      <c r="K31" s="596"/>
      <c r="L31" s="596"/>
      <c r="M31" s="597"/>
      <c r="N31" s="596"/>
      <c r="O31" s="596"/>
      <c r="P31" s="596"/>
      <c r="Q31" s="596"/>
      <c r="R31" s="596"/>
      <c r="S31" s="596"/>
      <c r="T31" s="596"/>
      <c r="U31" s="596"/>
      <c r="V31" s="596"/>
      <c r="W31" s="83"/>
    </row>
    <row r="32" spans="2:28" ht="47.25">
      <c r="B32" s="126" t="s">
        <v>83</v>
      </c>
      <c r="C32" s="598" t="s">
        <v>84</v>
      </c>
      <c r="D32" s="598"/>
      <c r="E32" s="599" t="s">
        <v>85</v>
      </c>
      <c r="F32" s="599" t="s">
        <v>86</v>
      </c>
      <c r="G32" s="600" t="s">
        <v>87</v>
      </c>
      <c r="H32" s="600" t="s">
        <v>88</v>
      </c>
      <c r="I32" s="600" t="s">
        <v>89</v>
      </c>
      <c r="J32" s="601" t="s">
        <v>90</v>
      </c>
      <c r="K32" s="596"/>
      <c r="L32" s="596"/>
      <c r="M32" s="597"/>
      <c r="N32" s="596"/>
      <c r="O32" s="596"/>
      <c r="P32" s="596"/>
      <c r="Q32" s="596"/>
      <c r="R32" s="596"/>
      <c r="S32" s="596"/>
      <c r="T32" s="596"/>
      <c r="U32" s="596"/>
      <c r="V32" s="596"/>
      <c r="W32" s="83"/>
    </row>
    <row r="33" spans="2:23" ht="15.75">
      <c r="B33" s="630" t="s">
        <v>153</v>
      </c>
      <c r="C33" s="631" t="s">
        <v>153</v>
      </c>
      <c r="D33" s="632"/>
      <c r="E33" s="631" t="s">
        <v>153</v>
      </c>
      <c r="F33" s="631" t="s">
        <v>153</v>
      </c>
      <c r="G33" s="600"/>
      <c r="H33" s="600"/>
      <c r="I33" s="600"/>
      <c r="J33" s="601"/>
      <c r="K33" s="596"/>
      <c r="L33" s="596"/>
      <c r="M33" s="597"/>
      <c r="N33" s="596"/>
      <c r="O33" s="596"/>
      <c r="P33" s="596"/>
      <c r="Q33" s="596"/>
      <c r="R33" s="596"/>
      <c r="S33" s="596"/>
      <c r="T33" s="596"/>
      <c r="U33" s="596"/>
      <c r="V33" s="596"/>
      <c r="W33" s="83"/>
    </row>
    <row r="34" spans="2:23" ht="15.75">
      <c r="B34" s="602" t="s">
        <v>114</v>
      </c>
      <c r="C34" s="603">
        <v>0</v>
      </c>
      <c r="D34" s="604"/>
      <c r="E34" s="444">
        <v>30</v>
      </c>
      <c r="F34" s="611">
        <v>0</v>
      </c>
      <c r="G34" s="261">
        <f>-1*(PMT(F34,E34,C34))</f>
        <v>0</v>
      </c>
      <c r="H34" s="261">
        <f>C34*F34</f>
        <v>0</v>
      </c>
      <c r="I34" s="606">
        <f t="shared" ref="I34:I39" si="10">H34/$J$3</f>
        <v>0</v>
      </c>
      <c r="J34" s="607">
        <f t="shared" ref="J34:J39" si="11">G34/$J$3</f>
        <v>0</v>
      </c>
      <c r="K34" s="596"/>
      <c r="L34" s="596"/>
      <c r="M34" s="597"/>
      <c r="N34" s="596"/>
      <c r="O34" s="596"/>
      <c r="P34" s="596"/>
      <c r="Q34" s="596"/>
      <c r="R34" s="596"/>
      <c r="S34" s="596"/>
      <c r="T34" s="596"/>
      <c r="U34" s="596"/>
      <c r="V34" s="596"/>
      <c r="W34" s="83"/>
    </row>
    <row r="35" spans="2:23" ht="15.75">
      <c r="B35" s="602"/>
      <c r="C35" s="603">
        <v>0</v>
      </c>
      <c r="D35" s="604"/>
      <c r="E35" s="444">
        <v>1</v>
      </c>
      <c r="F35" s="611">
        <v>0</v>
      </c>
      <c r="G35" s="261">
        <f t="shared" ref="G35:G39" si="12">-1*(PMT(F35,E35,C35))</f>
        <v>0</v>
      </c>
      <c r="H35" s="261">
        <f t="shared" ref="H35:H39" si="13">C35*F35</f>
        <v>0</v>
      </c>
      <c r="I35" s="606">
        <f t="shared" si="10"/>
        <v>0</v>
      </c>
      <c r="J35" s="607">
        <f t="shared" si="11"/>
        <v>0</v>
      </c>
      <c r="K35" s="596"/>
      <c r="L35" s="596"/>
      <c r="M35" s="597"/>
      <c r="N35" s="596"/>
      <c r="O35" s="596"/>
      <c r="P35" s="596"/>
      <c r="Q35" s="596"/>
      <c r="R35" s="596"/>
      <c r="S35" s="596"/>
      <c r="T35" s="596"/>
      <c r="U35" s="596"/>
      <c r="V35" s="596"/>
      <c r="W35" s="83"/>
    </row>
    <row r="36" spans="2:23" ht="15.75">
      <c r="B36" s="602"/>
      <c r="C36" s="603">
        <v>0</v>
      </c>
      <c r="D36" s="604"/>
      <c r="E36" s="444">
        <v>1</v>
      </c>
      <c r="F36" s="611">
        <v>0</v>
      </c>
      <c r="G36" s="261">
        <f t="shared" si="12"/>
        <v>0</v>
      </c>
      <c r="H36" s="261">
        <f t="shared" si="13"/>
        <v>0</v>
      </c>
      <c r="I36" s="606">
        <f t="shared" si="10"/>
        <v>0</v>
      </c>
      <c r="J36" s="607">
        <f t="shared" si="11"/>
        <v>0</v>
      </c>
      <c r="K36" s="596"/>
      <c r="L36" s="596"/>
      <c r="M36" s="597"/>
      <c r="N36" s="596"/>
      <c r="O36" s="596"/>
      <c r="P36" s="596"/>
      <c r="Q36" s="596"/>
      <c r="R36" s="596"/>
      <c r="S36" s="596"/>
      <c r="T36" s="596"/>
      <c r="U36" s="596"/>
      <c r="V36" s="596"/>
      <c r="W36" s="83"/>
    </row>
    <row r="37" spans="2:23" ht="15.75">
      <c r="B37" s="602"/>
      <c r="C37" s="603">
        <v>0</v>
      </c>
      <c r="D37" s="604"/>
      <c r="E37" s="444">
        <v>1</v>
      </c>
      <c r="F37" s="611">
        <v>0</v>
      </c>
      <c r="G37" s="261">
        <f t="shared" si="12"/>
        <v>0</v>
      </c>
      <c r="H37" s="261">
        <f t="shared" si="13"/>
        <v>0</v>
      </c>
      <c r="I37" s="606">
        <f t="shared" si="10"/>
        <v>0</v>
      </c>
      <c r="J37" s="607">
        <f t="shared" si="11"/>
        <v>0</v>
      </c>
      <c r="K37" s="596"/>
      <c r="L37" s="596"/>
      <c r="M37" s="597"/>
      <c r="N37" s="596"/>
      <c r="O37" s="596"/>
      <c r="P37" s="596"/>
      <c r="Q37" s="596"/>
      <c r="R37" s="596"/>
      <c r="S37" s="596"/>
      <c r="T37" s="596"/>
      <c r="U37" s="596"/>
      <c r="V37" s="596"/>
      <c r="W37" s="83"/>
    </row>
    <row r="38" spans="2:23" ht="15.75">
      <c r="B38" s="602"/>
      <c r="C38" s="603">
        <v>0</v>
      </c>
      <c r="D38" s="604"/>
      <c r="E38" s="444">
        <v>1</v>
      </c>
      <c r="F38" s="611">
        <v>0</v>
      </c>
      <c r="G38" s="261">
        <f t="shared" si="12"/>
        <v>0</v>
      </c>
      <c r="H38" s="261">
        <f t="shared" si="13"/>
        <v>0</v>
      </c>
      <c r="I38" s="606">
        <f t="shared" si="10"/>
        <v>0</v>
      </c>
      <c r="J38" s="607">
        <f t="shared" si="11"/>
        <v>0</v>
      </c>
      <c r="K38" s="596"/>
      <c r="L38" s="596"/>
      <c r="M38" s="597"/>
      <c r="N38" s="596"/>
      <c r="O38" s="596"/>
      <c r="P38" s="596"/>
      <c r="Q38" s="596"/>
      <c r="R38" s="596"/>
      <c r="S38" s="596"/>
      <c r="T38" s="596"/>
      <c r="U38" s="596"/>
      <c r="V38" s="596"/>
      <c r="W38" s="83"/>
    </row>
    <row r="39" spans="2:23" ht="15.75">
      <c r="B39" s="602"/>
      <c r="C39" s="603">
        <v>0</v>
      </c>
      <c r="D39" s="604"/>
      <c r="E39" s="444">
        <v>1</v>
      </c>
      <c r="F39" s="611">
        <v>0</v>
      </c>
      <c r="G39" s="261">
        <f t="shared" si="12"/>
        <v>0</v>
      </c>
      <c r="H39" s="261">
        <f t="shared" si="13"/>
        <v>0</v>
      </c>
      <c r="I39" s="606">
        <f t="shared" si="10"/>
        <v>0</v>
      </c>
      <c r="J39" s="607">
        <f t="shared" si="11"/>
        <v>0</v>
      </c>
      <c r="K39" s="596"/>
      <c r="L39" s="596"/>
      <c r="M39" s="597"/>
      <c r="N39" s="596"/>
      <c r="O39" s="596"/>
      <c r="P39" s="596"/>
      <c r="Q39" s="596"/>
      <c r="R39" s="596"/>
      <c r="S39" s="596"/>
      <c r="T39" s="596"/>
      <c r="U39" s="596"/>
      <c r="V39" s="596"/>
      <c r="W39" s="83"/>
    </row>
    <row r="40" spans="2:23" ht="15.75">
      <c r="B40" s="602"/>
      <c r="C40" s="603">
        <v>0</v>
      </c>
      <c r="D40" s="604"/>
      <c r="E40" s="444">
        <v>1</v>
      </c>
      <c r="F40" s="611">
        <v>0</v>
      </c>
      <c r="G40" s="261">
        <f t="shared" ref="G40:G41" si="14">-1*(PMT(F40,E40,C40))</f>
        <v>0</v>
      </c>
      <c r="H40" s="261">
        <f t="shared" ref="H40:H41" si="15">C40*F40</f>
        <v>0</v>
      </c>
      <c r="I40" s="606">
        <f t="shared" ref="I40:I41" si="16">H40/$J$3</f>
        <v>0</v>
      </c>
      <c r="J40" s="607">
        <f t="shared" ref="J40:J41" si="17">G40/$J$3</f>
        <v>0</v>
      </c>
      <c r="K40" s="596"/>
      <c r="L40" s="596"/>
      <c r="M40" s="597"/>
      <c r="N40" s="596"/>
      <c r="O40" s="596"/>
      <c r="P40" s="596"/>
      <c r="Q40" s="596"/>
      <c r="R40" s="596"/>
      <c r="S40" s="596"/>
      <c r="T40" s="596"/>
      <c r="U40" s="596"/>
      <c r="V40" s="596"/>
      <c r="W40" s="83"/>
    </row>
    <row r="41" spans="2:23" ht="15.75">
      <c r="B41" s="602"/>
      <c r="C41" s="603">
        <v>0</v>
      </c>
      <c r="D41" s="604"/>
      <c r="E41" s="444">
        <v>1</v>
      </c>
      <c r="F41" s="611">
        <v>0</v>
      </c>
      <c r="G41" s="261">
        <f t="shared" si="14"/>
        <v>0</v>
      </c>
      <c r="H41" s="261">
        <f t="shared" si="15"/>
        <v>0</v>
      </c>
      <c r="I41" s="606">
        <f t="shared" si="16"/>
        <v>0</v>
      </c>
      <c r="J41" s="607">
        <f t="shared" si="17"/>
        <v>0</v>
      </c>
      <c r="K41" s="596"/>
      <c r="L41" s="596"/>
      <c r="M41" s="597"/>
      <c r="N41" s="596"/>
      <c r="O41" s="596"/>
      <c r="P41" s="596"/>
      <c r="Q41" s="596"/>
      <c r="R41" s="596"/>
      <c r="S41" s="596"/>
      <c r="T41" s="596"/>
      <c r="U41" s="596"/>
      <c r="V41" s="596"/>
      <c r="W41" s="83"/>
    </row>
    <row r="42" spans="2:23" ht="15.75">
      <c r="B42" s="126" t="s">
        <v>94</v>
      </c>
      <c r="C42" s="598"/>
      <c r="D42" s="598"/>
      <c r="E42" s="620"/>
      <c r="F42" s="620"/>
      <c r="G42" s="620">
        <f>SUM(G34:G41)</f>
        <v>0</v>
      </c>
      <c r="H42" s="620">
        <f>SUM(H34:H41)</f>
        <v>0</v>
      </c>
      <c r="I42" s="620">
        <f>SUM(I34:I41)</f>
        <v>0</v>
      </c>
      <c r="J42" s="621">
        <f>SUM(J34:J41)</f>
        <v>0</v>
      </c>
      <c r="K42" s="596"/>
      <c r="L42" s="596"/>
      <c r="M42" s="597"/>
      <c r="N42" s="596"/>
      <c r="O42" s="596"/>
      <c r="P42" s="596"/>
      <c r="Q42" s="596"/>
      <c r="R42" s="596"/>
      <c r="S42" s="596"/>
      <c r="T42" s="596"/>
      <c r="U42" s="596"/>
      <c r="V42" s="596"/>
      <c r="W42" s="83"/>
    </row>
    <row r="43" spans="2:23">
      <c r="B43" s="86"/>
      <c r="C43" s="83"/>
      <c r="D43" s="83"/>
      <c r="E43" s="83"/>
      <c r="F43" s="83"/>
      <c r="G43" s="83"/>
      <c r="H43" s="83"/>
      <c r="I43" s="83"/>
      <c r="J43" s="85"/>
      <c r="K43" s="83"/>
      <c r="L43" s="83"/>
      <c r="M43" s="90"/>
      <c r="N43" s="83"/>
      <c r="O43" s="83"/>
      <c r="P43" s="83"/>
      <c r="Q43" s="83"/>
      <c r="R43" s="83"/>
      <c r="S43" s="83"/>
      <c r="T43" s="83"/>
      <c r="U43" s="83"/>
      <c r="V43" s="83"/>
      <c r="W43" s="83"/>
    </row>
    <row r="44" spans="2:23" ht="15.75" thickBot="1">
      <c r="B44" s="89"/>
      <c r="C44" s="88"/>
      <c r="D44" s="88"/>
      <c r="E44" s="88"/>
      <c r="F44" s="88"/>
      <c r="G44" s="88"/>
      <c r="H44" s="88"/>
      <c r="I44" s="88"/>
      <c r="J44" s="50"/>
      <c r="K44" s="83"/>
      <c r="L44" s="83"/>
      <c r="M44" s="90"/>
      <c r="N44" s="83"/>
      <c r="O44" s="83"/>
      <c r="P44" s="83"/>
      <c r="Q44" s="83"/>
      <c r="R44" s="83"/>
      <c r="S44" s="83"/>
      <c r="T44" s="83"/>
      <c r="U44" s="83"/>
      <c r="V44" s="83"/>
      <c r="W44" s="83"/>
    </row>
  </sheetData>
  <sheetProtection algorithmName="SHA-512" hashValue="ZBLtymuL3x7aQ7XrnSymFrGi7wZVR+8Vye+gfQlwGTF/ADXK7FTbGkY+FxPJrFVjpAU0payv/0/RfJQSgA5RWQ==" saltValue="XgOYnOJAV8Gts0CpwCzu7Q==" spinCount="100000" sheet="1" objects="1" scenarios="1"/>
  <mergeCells count="10">
    <mergeCell ref="B1:J2"/>
    <mergeCell ref="B4:J4"/>
    <mergeCell ref="B15:J15"/>
    <mergeCell ref="B31:J31"/>
    <mergeCell ref="L6:V6"/>
    <mergeCell ref="Q7:S7"/>
    <mergeCell ref="T7:V7"/>
    <mergeCell ref="N8:N9"/>
    <mergeCell ref="O8:O9"/>
    <mergeCell ref="P8:P9"/>
  </mergeCells>
  <conditionalFormatting sqref="Q14:S15 Q10:S12">
    <cfRule type="dataBar" priority="432">
      <dataBar>
        <cfvo type="min"/>
        <cfvo type="max"/>
        <color rgb="FF63C384"/>
      </dataBar>
    </cfRule>
  </conditionalFormatting>
  <conditionalFormatting sqref="T14:V15 T10:V12">
    <cfRule type="dataBar" priority="435">
      <dataBar>
        <cfvo type="min"/>
        <cfvo type="max"/>
        <color rgb="FF63C384"/>
      </dataBar>
    </cfRule>
  </conditionalFormatting>
  <printOptions horizontalCentered="1"/>
  <pageMargins left="0.7" right="0.7" top="0.75" bottom="0.75" header="0.3" footer="0.3"/>
  <pageSetup scale="60" orientation="portrait" r:id="rId1"/>
  <colBreaks count="1" manualBreakCount="1">
    <brk id="10" max="43"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3:M53"/>
  <sheetViews>
    <sheetView zoomScale="90" zoomScaleNormal="90" workbookViewId="0">
      <selection activeCell="J14" sqref="J14"/>
    </sheetView>
  </sheetViews>
  <sheetFormatPr defaultRowHeight="15"/>
  <cols>
    <col min="1" max="1" width="41.85546875" bestFit="1" customWidth="1"/>
    <col min="2" max="2" width="23.28515625" style="14" bestFit="1" customWidth="1"/>
    <col min="3" max="3" width="20" style="16" customWidth="1"/>
    <col min="4" max="4" width="18.7109375" style="16" customWidth="1"/>
    <col min="5" max="5" width="17.28515625" style="16" customWidth="1"/>
    <col min="6" max="6" width="19.140625" style="16" customWidth="1"/>
    <col min="7" max="8" width="19.140625" customWidth="1"/>
    <col min="9" max="10" width="17.28515625" customWidth="1"/>
    <col min="11" max="12" width="17.28515625" hidden="1" customWidth="1"/>
    <col min="13" max="13" width="8.7109375" hidden="1" customWidth="1"/>
  </cols>
  <sheetData>
    <row r="3" spans="1:13" ht="18.75">
      <c r="A3" s="935" t="s">
        <v>578</v>
      </c>
      <c r="B3" s="935"/>
      <c r="C3" s="935"/>
      <c r="D3" s="935"/>
      <c r="E3" s="935"/>
      <c r="F3" s="935"/>
      <c r="G3" s="935"/>
      <c r="H3" s="935"/>
      <c r="I3" s="178"/>
    </row>
    <row r="4" spans="1:13" s="14" customFormat="1" ht="18.75">
      <c r="A4" s="644"/>
      <c r="B4" s="182" t="s">
        <v>153</v>
      </c>
      <c r="C4" s="182" t="s">
        <v>153</v>
      </c>
      <c r="D4" s="182" t="s">
        <v>153</v>
      </c>
      <c r="E4" s="182" t="s">
        <v>153</v>
      </c>
      <c r="F4" s="96"/>
      <c r="G4" s="634" t="s">
        <v>634</v>
      </c>
      <c r="H4" s="96"/>
      <c r="I4" s="178"/>
    </row>
    <row r="5" spans="1:13" ht="15.75">
      <c r="A5" s="12"/>
      <c r="B5" s="633" t="s">
        <v>582</v>
      </c>
      <c r="C5" s="633" t="s">
        <v>581</v>
      </c>
      <c r="D5" s="633" t="s">
        <v>476</v>
      </c>
      <c r="E5" s="633" t="s">
        <v>477</v>
      </c>
      <c r="F5" s="634"/>
      <c r="G5" s="635" t="s">
        <v>635</v>
      </c>
      <c r="H5" s="96"/>
    </row>
    <row r="6" spans="1:13" ht="15.75">
      <c r="A6" s="12" t="s">
        <v>473</v>
      </c>
      <c r="B6" s="636">
        <v>7.0000000000000007E-2</v>
      </c>
      <c r="C6" s="637">
        <v>130733</v>
      </c>
      <c r="D6" s="637">
        <v>35000</v>
      </c>
      <c r="E6" s="637">
        <v>25000</v>
      </c>
      <c r="F6" s="634"/>
      <c r="G6" s="638">
        <f>(C6-E6+D6)*B6</f>
        <v>9851.3100000000013</v>
      </c>
      <c r="H6" s="96"/>
    </row>
    <row r="7" spans="1:13" ht="15.75">
      <c r="A7" s="12" t="s">
        <v>474</v>
      </c>
      <c r="B7" s="636">
        <v>0.04</v>
      </c>
      <c r="C7" s="637">
        <v>24750</v>
      </c>
      <c r="D7" s="637">
        <v>0</v>
      </c>
      <c r="E7" s="637">
        <v>0</v>
      </c>
      <c r="F7" s="634"/>
      <c r="G7" s="638">
        <f>(C7-E7+D7)*B7</f>
        <v>990</v>
      </c>
      <c r="H7" s="96"/>
    </row>
    <row r="8" spans="1:13" ht="15.75">
      <c r="A8" s="639" t="s">
        <v>475</v>
      </c>
      <c r="B8" s="636">
        <v>0.04</v>
      </c>
      <c r="C8" s="637">
        <v>0</v>
      </c>
      <c r="D8" s="637">
        <v>0</v>
      </c>
      <c r="E8" s="637">
        <v>0</v>
      </c>
      <c r="F8" s="640"/>
      <c r="G8" s="641">
        <f>(C8-E8+D8)*B8</f>
        <v>0</v>
      </c>
      <c r="H8" s="96"/>
    </row>
    <row r="9" spans="1:13" ht="15.75">
      <c r="A9" s="12" t="s">
        <v>472</v>
      </c>
      <c r="B9" s="12"/>
      <c r="C9" s="642"/>
      <c r="D9" s="642"/>
      <c r="E9" s="642"/>
      <c r="F9" s="634"/>
      <c r="G9" s="643">
        <f>SUM(G6:G8)</f>
        <v>10841.310000000001</v>
      </c>
      <c r="H9" s="96"/>
      <c r="I9" s="382" t="s">
        <v>439</v>
      </c>
    </row>
    <row r="10" spans="1:13" ht="15.75">
      <c r="A10" s="12"/>
      <c r="B10" s="12"/>
      <c r="C10" s="633"/>
      <c r="D10" s="633"/>
      <c r="E10" s="633"/>
      <c r="F10" s="633"/>
      <c r="G10" s="12"/>
      <c r="H10" s="12"/>
      <c r="I10" s="382" t="s">
        <v>440</v>
      </c>
    </row>
    <row r="11" spans="1:13" ht="15.75">
      <c r="A11" s="596"/>
      <c r="B11" s="182" t="s">
        <v>153</v>
      </c>
      <c r="C11" s="614" t="s">
        <v>410</v>
      </c>
      <c r="D11" s="614" t="s">
        <v>411</v>
      </c>
      <c r="E11" s="614" t="s">
        <v>412</v>
      </c>
      <c r="F11" s="614" t="s">
        <v>407</v>
      </c>
      <c r="G11" s="614" t="s">
        <v>408</v>
      </c>
      <c r="H11" s="614" t="s">
        <v>409</v>
      </c>
      <c r="I11" s="886" t="s">
        <v>438</v>
      </c>
      <c r="K11" s="179" t="s">
        <v>78</v>
      </c>
      <c r="L11" s="179" t="s">
        <v>137</v>
      </c>
      <c r="M11" s="100" t="s">
        <v>138</v>
      </c>
    </row>
    <row r="12" spans="1:13" ht="15.75">
      <c r="A12" s="180" t="s">
        <v>478</v>
      </c>
      <c r="B12" s="455">
        <v>19812</v>
      </c>
      <c r="C12" s="94">
        <f t="shared" ref="C12:E14" si="0">F12/K12</f>
        <v>66.040000000000006</v>
      </c>
      <c r="D12" s="94">
        <f t="shared" si="0"/>
        <v>66.040000000000006</v>
      </c>
      <c r="E12" s="94">
        <f t="shared" si="0"/>
        <v>66.040000000000006</v>
      </c>
      <c r="F12" s="94">
        <f>B12/(K12+L12+M12)*K12</f>
        <v>6604.0000000000009</v>
      </c>
      <c r="G12" s="94">
        <f>B12/(K12+L12+M12)*L12</f>
        <v>6604.0000000000009</v>
      </c>
      <c r="H12" s="94">
        <f>B12/(K12+L12+M12)*M12</f>
        <v>6604.0000000000009</v>
      </c>
      <c r="I12" s="886"/>
      <c r="K12" s="93">
        <f>'Crop Budget (Main)'!$C$15</f>
        <v>100</v>
      </c>
      <c r="L12" s="93">
        <f>'Crop Budget (Main)'!$G$15</f>
        <v>100</v>
      </c>
      <c r="M12" s="93">
        <f>'Crop Budget (Main)'!$K$15</f>
        <v>100</v>
      </c>
    </row>
    <row r="13" spans="1:13" ht="15.75">
      <c r="A13" s="181" t="s">
        <v>479</v>
      </c>
      <c r="B13" s="455">
        <v>0</v>
      </c>
      <c r="C13" s="94">
        <f t="shared" si="0"/>
        <v>0</v>
      </c>
      <c r="D13" s="94">
        <f t="shared" si="0"/>
        <v>0</v>
      </c>
      <c r="E13" s="94">
        <f t="shared" si="0"/>
        <v>0</v>
      </c>
      <c r="F13" s="94">
        <f>B13/(K13+L13+M13)*K13</f>
        <v>0</v>
      </c>
      <c r="G13" s="94">
        <f>B13/(K13+L13+M13)*L13</f>
        <v>0</v>
      </c>
      <c r="H13" s="94">
        <f>B13/(K13+L13+M13)*M13</f>
        <v>0</v>
      </c>
      <c r="I13" s="14"/>
      <c r="K13" s="93">
        <f>'Crop Budget (Main)'!$C$15</f>
        <v>100</v>
      </c>
      <c r="L13" s="93">
        <f>'Crop Budget (Main)'!$G$15</f>
        <v>100</v>
      </c>
      <c r="M13" s="93">
        <f>'Crop Budget (Main)'!$K$15</f>
        <v>100</v>
      </c>
    </row>
    <row r="14" spans="1:13" s="14" customFormat="1" ht="15.75">
      <c r="A14" s="181" t="s">
        <v>393</v>
      </c>
      <c r="B14" s="455">
        <v>0</v>
      </c>
      <c r="C14" s="94">
        <f t="shared" si="0"/>
        <v>0</v>
      </c>
      <c r="D14" s="94">
        <f t="shared" si="0"/>
        <v>0</v>
      </c>
      <c r="E14" s="94">
        <f t="shared" si="0"/>
        <v>0</v>
      </c>
      <c r="F14" s="94">
        <f>B14/(K14+L14+M14)*K14</f>
        <v>0</v>
      </c>
      <c r="G14" s="94">
        <f>B14/(K14+L14+M14)*L14</f>
        <v>0</v>
      </c>
      <c r="H14" s="94">
        <f>B14/(K14+L14+M14)*M14</f>
        <v>0</v>
      </c>
      <c r="K14" s="93">
        <f>'Crop Budget (Main)'!$C$15</f>
        <v>100</v>
      </c>
      <c r="L14" s="93">
        <f>'Crop Budget (Main)'!$G$15</f>
        <v>100</v>
      </c>
      <c r="M14" s="93">
        <f>'Crop Budget (Main)'!$K$15</f>
        <v>100</v>
      </c>
    </row>
    <row r="15" spans="1:13" s="14" customFormat="1">
      <c r="C15" s="16"/>
      <c r="D15" s="16"/>
      <c r="E15" s="16"/>
      <c r="F15" s="16"/>
    </row>
    <row r="16" spans="1:13" s="14" customFormat="1">
      <c r="C16" s="16"/>
      <c r="D16" s="16"/>
      <c r="E16" s="16"/>
      <c r="F16" s="16"/>
    </row>
    <row r="18" spans="1:9" ht="18.75">
      <c r="A18" s="935" t="s">
        <v>608</v>
      </c>
      <c r="B18" s="935"/>
      <c r="C18" s="935"/>
      <c r="D18" s="935"/>
      <c r="E18" s="935"/>
      <c r="F18" s="935"/>
      <c r="G18" s="935"/>
      <c r="H18" s="935"/>
    </row>
    <row r="19" spans="1:9" ht="15.75">
      <c r="A19" s="12"/>
      <c r="B19" s="649" t="s">
        <v>78</v>
      </c>
      <c r="C19" s="649" t="s">
        <v>137</v>
      </c>
      <c r="D19" s="649" t="s">
        <v>138</v>
      </c>
      <c r="E19" s="633"/>
      <c r="F19" s="633"/>
      <c r="G19" s="12"/>
      <c r="H19" s="650" t="s">
        <v>584</v>
      </c>
    </row>
    <row r="20" spans="1:9" ht="15.75">
      <c r="A20" s="651" t="s">
        <v>609</v>
      </c>
      <c r="B20" s="648">
        <f>'Crop Budget (Main)'!E21</f>
        <v>71167.199999999997</v>
      </c>
      <c r="C20" s="648">
        <f>'Crop Budget (Main)'!I21</f>
        <v>48462.5</v>
      </c>
      <c r="D20" s="648">
        <f>'Crop Budget (Main)'!M21</f>
        <v>41721.269999999997</v>
      </c>
      <c r="E20" s="633"/>
      <c r="F20" s="633"/>
      <c r="G20" s="12"/>
      <c r="H20" s="652">
        <f>SUM(B20:G20)</f>
        <v>161350.97</v>
      </c>
    </row>
    <row r="21" spans="1:9" ht="15.75">
      <c r="A21" s="12"/>
      <c r="B21" s="12"/>
      <c r="C21" s="182" t="s">
        <v>153</v>
      </c>
      <c r="D21" s="633"/>
      <c r="E21" s="182" t="s">
        <v>153</v>
      </c>
      <c r="F21" s="633"/>
      <c r="G21" s="182" t="s">
        <v>153</v>
      </c>
      <c r="H21" s="12"/>
    </row>
    <row r="22" spans="1:9" ht="15.75">
      <c r="A22" s="12" t="s">
        <v>607</v>
      </c>
      <c r="B22" s="633" t="s">
        <v>622</v>
      </c>
      <c r="C22" s="645">
        <v>130995</v>
      </c>
      <c r="D22" s="633" t="s">
        <v>611</v>
      </c>
      <c r="E22" s="444">
        <v>2000</v>
      </c>
      <c r="F22" s="633" t="s">
        <v>612</v>
      </c>
      <c r="G22" s="646">
        <v>0</v>
      </c>
      <c r="H22" s="647">
        <f>(C22*0.1)+(E22*G22)</f>
        <v>13099.5</v>
      </c>
    </row>
    <row r="23" spans="1:9" ht="15.75">
      <c r="A23" s="12" t="s">
        <v>610</v>
      </c>
      <c r="B23" s="12"/>
      <c r="C23" s="633"/>
      <c r="D23" s="633"/>
      <c r="E23" s="633"/>
      <c r="F23" s="633"/>
      <c r="G23" s="12"/>
      <c r="H23" s="12"/>
      <c r="I23" s="382" t="s">
        <v>439</v>
      </c>
    </row>
    <row r="24" spans="1:9" s="14" customFormat="1" ht="15.75">
      <c r="A24" s="12"/>
      <c r="B24" s="12"/>
      <c r="C24" s="633"/>
      <c r="D24" s="633"/>
      <c r="E24" s="633"/>
      <c r="F24" s="633"/>
      <c r="G24" s="12"/>
      <c r="H24" s="12"/>
      <c r="I24" s="382" t="s">
        <v>440</v>
      </c>
    </row>
    <row r="25" spans="1:9" ht="15.75">
      <c r="A25" s="12"/>
      <c r="B25" s="12"/>
      <c r="C25" s="614" t="s">
        <v>410</v>
      </c>
      <c r="D25" s="614" t="s">
        <v>411</v>
      </c>
      <c r="E25" s="614" t="s">
        <v>412</v>
      </c>
      <c r="F25" s="614" t="s">
        <v>407</v>
      </c>
      <c r="G25" s="614" t="s">
        <v>408</v>
      </c>
      <c r="H25" s="614" t="s">
        <v>409</v>
      </c>
      <c r="I25" s="886" t="s">
        <v>438</v>
      </c>
    </row>
    <row r="26" spans="1:9" ht="15.75">
      <c r="A26" s="12" t="s">
        <v>613</v>
      </c>
      <c r="B26" s="12"/>
      <c r="C26" s="648">
        <f>F26/K12</f>
        <v>43.664999999999999</v>
      </c>
      <c r="D26" s="648">
        <f t="shared" ref="D26:E26" si="1">G26/L12</f>
        <v>43.664999999999999</v>
      </c>
      <c r="E26" s="648">
        <f t="shared" si="1"/>
        <v>43.664999999999999</v>
      </c>
      <c r="F26" s="648">
        <f>$H$22/($K$12+$L$12+$M$12)*K12</f>
        <v>4366.5</v>
      </c>
      <c r="G26" s="648">
        <f>($H$22/($K$12+$L$12+$M$12))*L12</f>
        <v>4366.5</v>
      </c>
      <c r="H26" s="648">
        <f>($H$22/($K$12+$L$12+$M$12))*M12</f>
        <v>4366.5</v>
      </c>
      <c r="I26" s="886"/>
    </row>
    <row r="27" spans="1:9" ht="15.75">
      <c r="A27" s="12"/>
      <c r="B27" s="12"/>
      <c r="C27" s="633"/>
      <c r="D27" s="633"/>
      <c r="E27" s="633"/>
      <c r="F27" s="633"/>
      <c r="G27" s="12"/>
      <c r="H27" s="12"/>
    </row>
    <row r="28" spans="1:9" s="14" customFormat="1"/>
    <row r="29" spans="1:9" ht="18.75">
      <c r="A29" s="935" t="s">
        <v>618</v>
      </c>
      <c r="B29" s="935"/>
      <c r="C29" s="935"/>
      <c r="D29" s="935"/>
      <c r="E29" s="935"/>
      <c r="F29" s="935"/>
      <c r="G29" s="935"/>
      <c r="H29" s="935"/>
    </row>
    <row r="30" spans="1:9" s="14" customFormat="1" ht="15.75">
      <c r="A30" s="644"/>
      <c r="B30" s="182" t="s">
        <v>153</v>
      </c>
      <c r="C30" s="644"/>
      <c r="D30" s="182" t="s">
        <v>153</v>
      </c>
      <c r="E30" s="644"/>
      <c r="F30" s="644"/>
      <c r="G30" s="644"/>
      <c r="H30" s="644"/>
    </row>
    <row r="31" spans="1:9" ht="15.75">
      <c r="A31" s="12"/>
      <c r="B31" s="651" t="s">
        <v>619</v>
      </c>
      <c r="C31" s="633"/>
      <c r="D31" s="651" t="s">
        <v>620</v>
      </c>
      <c r="E31" s="633"/>
      <c r="F31" s="633"/>
      <c r="G31" s="650" t="s">
        <v>584</v>
      </c>
      <c r="H31" s="12"/>
    </row>
    <row r="32" spans="1:9" ht="15.75">
      <c r="A32" s="12" t="s">
        <v>614</v>
      </c>
      <c r="B32" s="653">
        <v>982000</v>
      </c>
      <c r="C32" s="648"/>
      <c r="D32" s="636">
        <v>0.03</v>
      </c>
      <c r="E32" s="648"/>
      <c r="F32" s="648"/>
      <c r="G32" s="648">
        <f>B32*D32</f>
        <v>29460</v>
      </c>
      <c r="H32" s="648"/>
    </row>
    <row r="33" spans="1:12" ht="15.75">
      <c r="A33" s="12"/>
      <c r="B33" s="12"/>
      <c r="C33" s="633"/>
      <c r="D33" s="633"/>
      <c r="E33" s="633"/>
      <c r="F33" s="633"/>
      <c r="G33" s="12"/>
      <c r="H33" s="12"/>
    </row>
    <row r="34" spans="1:12" ht="15.75">
      <c r="A34" s="12"/>
      <c r="B34" s="12"/>
      <c r="C34" s="614" t="s">
        <v>410</v>
      </c>
      <c r="D34" s="614" t="s">
        <v>411</v>
      </c>
      <c r="E34" s="614" t="s">
        <v>412</v>
      </c>
      <c r="F34" s="614" t="s">
        <v>407</v>
      </c>
      <c r="G34" s="614" t="s">
        <v>408</v>
      </c>
      <c r="H34" s="614" t="s">
        <v>409</v>
      </c>
    </row>
    <row r="35" spans="1:12" ht="15.75">
      <c r="A35" s="12"/>
      <c r="B35" s="12"/>
      <c r="C35" s="648">
        <f>F35/K12</f>
        <v>98.2</v>
      </c>
      <c r="D35" s="648">
        <f t="shared" ref="D35:E35" si="2">G35/L12</f>
        <v>98.2</v>
      </c>
      <c r="E35" s="648">
        <f t="shared" si="2"/>
        <v>98.2</v>
      </c>
      <c r="F35" s="648">
        <f>($G$32/($K$12+$L$12+$M$12))*K12</f>
        <v>9820</v>
      </c>
      <c r="G35" s="648">
        <f>($G$32/($K$12+$L$12+$M$12))*L12</f>
        <v>9820</v>
      </c>
      <c r="H35" s="648">
        <f>($G$32/($K$12+$L$12+$M$12))*M12</f>
        <v>9820</v>
      </c>
    </row>
    <row r="37" spans="1:12" ht="18.75">
      <c r="A37" s="935" t="s">
        <v>659</v>
      </c>
      <c r="B37" s="935"/>
      <c r="C37" s="935"/>
      <c r="D37" s="935"/>
      <c r="E37" s="935"/>
      <c r="F37" s="935"/>
      <c r="G37" s="935"/>
      <c r="H37" s="935"/>
      <c r="I37" s="382" t="s">
        <v>439</v>
      </c>
    </row>
    <row r="38" spans="1:12" ht="15.75">
      <c r="B38" s="16"/>
      <c r="I38" s="382" t="s">
        <v>440</v>
      </c>
    </row>
    <row r="39" spans="1:12" ht="15.75">
      <c r="B39" s="649" t="s">
        <v>636</v>
      </c>
      <c r="C39" s="650" t="s">
        <v>639</v>
      </c>
      <c r="D39" s="649" t="s">
        <v>637</v>
      </c>
      <c r="E39" s="650" t="s">
        <v>640</v>
      </c>
      <c r="F39" s="649" t="s">
        <v>638</v>
      </c>
      <c r="G39" s="650" t="s">
        <v>641</v>
      </c>
      <c r="I39" s="886" t="s">
        <v>438</v>
      </c>
    </row>
    <row r="40" spans="1:12" ht="15.75">
      <c r="A40" s="412" t="s">
        <v>658</v>
      </c>
      <c r="B40" s="654">
        <f>'Crop Budget (Main)'!$C$75</f>
        <v>4.1830605183181859</v>
      </c>
      <c r="C40" s="654">
        <f>B40*'Crop Budget (Main)'!$C$15</f>
        <v>418.30605183181859</v>
      </c>
      <c r="D40" s="654">
        <f>'Crop Budget (Main)'!$G$75</f>
        <v>10.672985518318043</v>
      </c>
      <c r="E40" s="654">
        <f>D40*'Crop Budget (Main)'!$G$15</f>
        <v>1067.2985518318044</v>
      </c>
      <c r="F40" s="654">
        <f>'Crop Budget (Main)'!$K$75</f>
        <v>-38.117772815015329</v>
      </c>
      <c r="G40" s="654">
        <f>F40*'Crop Budget (Main)'!$K$15</f>
        <v>-3811.7772815015328</v>
      </c>
      <c r="I40" s="886"/>
    </row>
    <row r="41" spans="1:12" ht="15.75">
      <c r="A41" s="216" t="s">
        <v>607</v>
      </c>
      <c r="B41" s="409">
        <f>C26</f>
        <v>43.664999999999999</v>
      </c>
      <c r="C41" s="409">
        <f>B41*'Crop Budget (Main)'!C15</f>
        <v>4366.5</v>
      </c>
      <c r="D41" s="409">
        <f>D26</f>
        <v>43.664999999999999</v>
      </c>
      <c r="E41" s="409">
        <f>D41*'Crop Budget (Main)'!G15</f>
        <v>4366.5</v>
      </c>
      <c r="F41" s="409">
        <f>E26</f>
        <v>43.664999999999999</v>
      </c>
      <c r="G41" s="409">
        <f>F41*'Crop Budget (Main)'!K15</f>
        <v>4366.5</v>
      </c>
      <c r="K41" s="268" t="e">
        <f>#REF!</f>
        <v>#REF!</v>
      </c>
      <c r="L41" s="286" t="e">
        <f>#REF!*$K$16</f>
        <v>#REF!</v>
      </c>
    </row>
    <row r="42" spans="1:12" ht="15.75">
      <c r="A42" s="216" t="s">
        <v>614</v>
      </c>
      <c r="B42" s="410">
        <f>C35</f>
        <v>98.2</v>
      </c>
      <c r="C42" s="410">
        <f>B42*'Crop Budget (Main)'!C15</f>
        <v>9820</v>
      </c>
      <c r="D42" s="410">
        <f>D35</f>
        <v>98.2</v>
      </c>
      <c r="E42" s="410">
        <f>D42*'Crop Budget (Main)'!G15</f>
        <v>9820</v>
      </c>
      <c r="F42" s="410">
        <f>E35</f>
        <v>98.2</v>
      </c>
      <c r="G42" s="410">
        <f>F42*'Crop Budget (Main)'!K15</f>
        <v>9820</v>
      </c>
      <c r="K42" s="268" t="e">
        <f>#REF!</f>
        <v>#REF!</v>
      </c>
      <c r="L42" s="286" t="e">
        <f>#REF!*$K$16</f>
        <v>#REF!</v>
      </c>
    </row>
    <row r="43" spans="1:12" ht="15.75">
      <c r="A43" s="390" t="s">
        <v>616</v>
      </c>
      <c r="B43" s="411">
        <f t="shared" ref="B43:G43" si="3">B41+B42</f>
        <v>141.86500000000001</v>
      </c>
      <c r="C43" s="411">
        <f t="shared" si="3"/>
        <v>14186.5</v>
      </c>
      <c r="D43" s="411">
        <f t="shared" si="3"/>
        <v>141.86500000000001</v>
      </c>
      <c r="E43" s="411">
        <f t="shared" si="3"/>
        <v>14186.5</v>
      </c>
      <c r="F43" s="411">
        <f t="shared" si="3"/>
        <v>141.86500000000001</v>
      </c>
      <c r="G43" s="411">
        <f t="shared" si="3"/>
        <v>14186.5</v>
      </c>
      <c r="K43" s="348"/>
      <c r="L43" s="349" t="e">
        <f>SUM(L41:L42)</f>
        <v>#REF!</v>
      </c>
    </row>
    <row r="44" spans="1:12" ht="16.5" thickBot="1">
      <c r="A44" s="413" t="s">
        <v>660</v>
      </c>
      <c r="B44" s="414">
        <f t="shared" ref="B44:G44" si="4">B40-B43</f>
        <v>-137.68193948168181</v>
      </c>
      <c r="C44" s="414">
        <f t="shared" si="4"/>
        <v>-13768.193948168182</v>
      </c>
      <c r="D44" s="414">
        <f t="shared" si="4"/>
        <v>-131.19201448168195</v>
      </c>
      <c r="E44" s="414">
        <f t="shared" si="4"/>
        <v>-13119.201448168196</v>
      </c>
      <c r="F44" s="414">
        <f t="shared" si="4"/>
        <v>-179.98277281501532</v>
      </c>
      <c r="G44" s="414">
        <f t="shared" si="4"/>
        <v>-17998.277281501534</v>
      </c>
      <c r="K44" s="270"/>
      <c r="L44" s="287" t="e">
        <f>#REF!*#REF!</f>
        <v>#REF!</v>
      </c>
    </row>
    <row r="45" spans="1:12" ht="17.25" thickTop="1" thickBot="1">
      <c r="A45" s="12"/>
      <c r="B45" s="408"/>
      <c r="C45" s="633"/>
      <c r="D45" s="633"/>
      <c r="E45" s="633"/>
      <c r="F45" s="633"/>
      <c r="G45" s="12"/>
      <c r="K45" s="405"/>
      <c r="L45" s="407" t="e">
        <f>#REF!*#REF!</f>
        <v>#REF!</v>
      </c>
    </row>
    <row r="46" spans="1:12" ht="15.75">
      <c r="A46" s="12"/>
      <c r="B46" s="12"/>
      <c r="C46" s="633"/>
      <c r="D46" s="633"/>
      <c r="E46" s="633"/>
      <c r="F46" s="633"/>
      <c r="G46" s="12"/>
    </row>
    <row r="47" spans="1:12" ht="15.75">
      <c r="A47" s="342" t="s">
        <v>575</v>
      </c>
      <c r="B47" s="936" t="s">
        <v>636</v>
      </c>
      <c r="C47" s="937"/>
      <c r="D47" s="937" t="s">
        <v>637</v>
      </c>
      <c r="E47" s="937"/>
      <c r="F47" s="937" t="s">
        <v>638</v>
      </c>
      <c r="G47" s="937"/>
    </row>
    <row r="48" spans="1:12" ht="15.75">
      <c r="A48" s="343" t="s">
        <v>576</v>
      </c>
      <c r="B48" s="419">
        <f>('Crop Budget (Main)'!$C$74-'Capital &amp; Opportunity'!$C$12)/'Crop Budget (Main)'!$C$14</f>
        <v>4.4948471377489314</v>
      </c>
      <c r="C48" s="415" t="s">
        <v>661</v>
      </c>
      <c r="D48" s="419">
        <f>('Crop Budget (Main)'!$G$74-'Capital &amp; Opportunity'!$D$12)/'Crop Budget (Main)'!$G$14</f>
        <v>11.017015678328264</v>
      </c>
      <c r="E48" s="415" t="s">
        <v>661</v>
      </c>
      <c r="F48" s="419">
        <f>('Crop Budget (Main)'!$K$74-'Capital &amp; Opportunity'!$E$12)/'Crop Budget (Main)'!$K$14</f>
        <v>6.6114487122842354</v>
      </c>
      <c r="G48" s="415" t="s">
        <v>661</v>
      </c>
    </row>
    <row r="49" spans="1:7" ht="15.75">
      <c r="A49" s="343" t="s">
        <v>577</v>
      </c>
      <c r="B49" s="791">
        <f>('Crop Budget (Main)'!$C$74-'Capital &amp; Opportunity'!$C$12)/'Crop Budget (Main)'!$C$13</f>
        <v>180.02263091136942</v>
      </c>
      <c r="C49" s="416" t="s">
        <v>131</v>
      </c>
      <c r="D49" s="791">
        <f>('Crop Budget (Main)'!$G$74-'Capital &amp; Opportunity'!$D$12)/'Crop Budget (Main)'!$G$13</f>
        <v>51.238055619641294</v>
      </c>
      <c r="E49" s="416" t="s">
        <v>131</v>
      </c>
      <c r="F49" s="791">
        <f>('Crop Budget (Main)'!$K$74-'Capital &amp; Opportunity'!$E$12)/'Crop Budget (Main)'!$K$13</f>
        <v>87.395484225530765</v>
      </c>
      <c r="G49" s="416" t="s">
        <v>131</v>
      </c>
    </row>
    <row r="50" spans="1:7" ht="15.75">
      <c r="A50" s="12"/>
      <c r="B50" s="12"/>
      <c r="C50" s="633"/>
      <c r="D50" s="633"/>
      <c r="E50" s="633"/>
      <c r="F50" s="633"/>
      <c r="G50" s="12"/>
    </row>
    <row r="51" spans="1:7" ht="15.75">
      <c r="A51" s="342" t="s">
        <v>621</v>
      </c>
      <c r="B51" s="12"/>
      <c r="C51" s="633"/>
      <c r="D51" s="633"/>
      <c r="E51" s="633"/>
      <c r="F51" s="633"/>
      <c r="G51" s="12"/>
    </row>
    <row r="52" spans="1:7" ht="15.75">
      <c r="A52" s="343" t="s">
        <v>576</v>
      </c>
      <c r="B52" s="419">
        <f>('Crop Budget (Main)'!$C$74-'Capital &amp; Opportunity'!$C$12+B43)/'Crop Budget (Main)'!$C$14</f>
        <v>5.3961495519801899</v>
      </c>
      <c r="C52" s="415" t="s">
        <v>661</v>
      </c>
      <c r="D52" s="419">
        <f>('Crop Budget (Main)'!$G$74-'Capital &amp; Opportunity'!$D$12+D43)/'Crop Budget (Main)'!$G$14</f>
        <v>14.314667933093491</v>
      </c>
      <c r="E52" s="415" t="s">
        <v>661</v>
      </c>
      <c r="F52" s="419">
        <f>('Crop Budget (Main)'!$K$74-'Capital &amp; Opportunity'!$E$12+F43)/'Crop Budget (Main)'!$K$14</f>
        <v>8.6713441674896963</v>
      </c>
      <c r="G52" s="415" t="s">
        <v>661</v>
      </c>
    </row>
    <row r="53" spans="1:7" ht="15.75">
      <c r="A53" s="343" t="s">
        <v>577</v>
      </c>
      <c r="B53" s="791">
        <f>('Crop Budget (Main)'!$C$74-'Capital &amp; Opportunity'!$C$12+B43)/'Crop Budget (Main)'!$C$13</f>
        <v>216.12059528795976</v>
      </c>
      <c r="C53" s="416" t="s">
        <v>131</v>
      </c>
      <c r="D53" s="791">
        <f>('Crop Budget (Main)'!$G$74-'Capital &amp; Opportunity'!$D$12+D43)/'Crop Budget (Main)'!$G$13</f>
        <v>66.574812376398057</v>
      </c>
      <c r="E53" s="416" t="s">
        <v>131</v>
      </c>
      <c r="F53" s="791">
        <f>('Crop Budget (Main)'!$K$74-'Capital &amp; Opportunity'!$E$12+F43)/'Crop Budget (Main)'!$K$13</f>
        <v>114.62485082821792</v>
      </c>
      <c r="G53" s="416" t="s">
        <v>131</v>
      </c>
    </row>
  </sheetData>
  <sheetProtection algorithmName="SHA-512" hashValue="vfU4YkzxsZ/p2Wj4G9eSzXiuIkBujXbD/zRxhs2DUj0+BqyiSua9FlJm61gtAHTzxmlggvzrIg3HEDWnnowb9A==" saltValue="PN1ryd2lpHPePH7GtBYnWg==" spinCount="100000" sheet="1" objects="1" scenarios="1"/>
  <mergeCells count="10">
    <mergeCell ref="A3:H3"/>
    <mergeCell ref="I25:I26"/>
    <mergeCell ref="I11:I12"/>
    <mergeCell ref="A29:H29"/>
    <mergeCell ref="A18:H18"/>
    <mergeCell ref="A37:H37"/>
    <mergeCell ref="B47:C47"/>
    <mergeCell ref="D47:E47"/>
    <mergeCell ref="F47:G47"/>
    <mergeCell ref="I39:I40"/>
  </mergeCells>
  <conditionalFormatting sqref="F14:H14">
    <cfRule type="dataBar" priority="9">
      <dataBar>
        <cfvo type="min"/>
        <cfvo type="max"/>
        <color rgb="FF63C384"/>
      </dataBar>
    </cfRule>
  </conditionalFormatting>
  <conditionalFormatting sqref="C14:E14">
    <cfRule type="dataBar" priority="10">
      <dataBar>
        <cfvo type="min"/>
        <cfvo type="max"/>
        <color rgb="FF63C384"/>
      </dataBar>
    </cfRule>
  </conditionalFormatting>
  <conditionalFormatting sqref="F12:H13">
    <cfRule type="dataBar" priority="513">
      <dataBar>
        <cfvo type="min"/>
        <cfvo type="max"/>
        <color rgb="FF63C384"/>
      </dataBar>
    </cfRule>
  </conditionalFormatting>
  <conditionalFormatting sqref="C12:E13">
    <cfRule type="dataBar" priority="515">
      <dataBar>
        <cfvo type="min"/>
        <cfvo type="max"/>
        <color rgb="FF63C384"/>
      </dataBar>
    </cfRule>
  </conditionalFormatting>
  <conditionalFormatting sqref="K41:K42">
    <cfRule type="dataBar" priority="3">
      <dataBar showValue="0">
        <cfvo type="min"/>
        <cfvo type="max"/>
        <color rgb="FF63C384"/>
      </dataBar>
      <extLst>
        <ext xmlns:x14="http://schemas.microsoft.com/office/spreadsheetml/2009/9/main" uri="{B025F937-C7B1-47D3-B67F-A62EFF666E3E}">
          <x14:id>{2AA36DEF-4ABA-4792-BEEB-B3B00529D24C}</x14:id>
        </ext>
      </extLst>
    </cfRule>
  </conditionalFormatting>
  <pageMargins left="0.7" right="0.7" top="0.75" bottom="0.75" header="0.3" footer="0.3"/>
  <pageSetup scale="59" orientation="landscape" r:id="rId1"/>
  <extLst>
    <ext xmlns:x14="http://schemas.microsoft.com/office/spreadsheetml/2009/9/main" uri="{78C0D931-6437-407d-A8EE-F0AAD7539E65}">
      <x14:conditionalFormattings>
        <x14:conditionalFormatting xmlns:xm="http://schemas.microsoft.com/office/excel/2006/main">
          <x14:cfRule type="dataBar" id="{2AA36DEF-4ABA-4792-BEEB-B3B00529D24C}">
            <x14:dataBar minLength="0" maxLength="100" border="1" negativeBarBorderColorSameAsPositive="0">
              <x14:cfvo type="autoMin"/>
              <x14:cfvo type="autoMax"/>
              <x14:borderColor rgb="FF63C384"/>
              <x14:negativeFillColor rgb="FFFF0000"/>
              <x14:negativeBorderColor rgb="FFFF0000"/>
              <x14:axisColor rgb="FF000000"/>
            </x14:dataBar>
          </x14:cfRule>
          <xm:sqref>K41:K42</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C0D98-0FD5-4A88-9C62-E7BDBB147E76}">
  <sheetPr codeName="Sheet12"/>
  <dimension ref="A1:K60"/>
  <sheetViews>
    <sheetView zoomScaleNormal="100" workbookViewId="0">
      <selection activeCell="B38" sqref="B38:D40"/>
    </sheetView>
  </sheetViews>
  <sheetFormatPr defaultRowHeight="15"/>
  <cols>
    <col min="1" max="1" width="40.28515625" bestFit="1" customWidth="1"/>
    <col min="2" max="2" width="14.85546875" bestFit="1" customWidth="1"/>
    <col min="3" max="3" width="18.28515625" bestFit="1" customWidth="1"/>
    <col min="4" max="4" width="16.42578125" bestFit="1" customWidth="1"/>
    <col min="5" max="5" width="16.140625" bestFit="1" customWidth="1"/>
    <col min="6" max="6" width="16.42578125" bestFit="1" customWidth="1"/>
    <col min="9" max="11" width="9.140625" hidden="1" customWidth="1"/>
    <col min="12" max="12" width="0" hidden="1" customWidth="1"/>
  </cols>
  <sheetData>
    <row r="1" spans="1:11" ht="18.75">
      <c r="A1" s="935" t="s">
        <v>626</v>
      </c>
      <c r="B1" s="935"/>
      <c r="C1" s="935"/>
      <c r="D1" s="935"/>
      <c r="E1" s="935"/>
      <c r="F1" s="935"/>
      <c r="I1" s="179" t="s">
        <v>78</v>
      </c>
      <c r="J1" s="179" t="s">
        <v>137</v>
      </c>
      <c r="K1" s="100" t="s">
        <v>138</v>
      </c>
    </row>
    <row r="2" spans="1:11">
      <c r="B2" s="182" t="s">
        <v>153</v>
      </c>
      <c r="C2" s="182" t="s">
        <v>153</v>
      </c>
      <c r="D2" s="182" t="s">
        <v>153</v>
      </c>
      <c r="I2" s="93">
        <f>'Crop Budget (Main)'!$C$15</f>
        <v>100</v>
      </c>
      <c r="J2" s="93">
        <f>'Crop Budget (Main)'!$G$15</f>
        <v>100</v>
      </c>
      <c r="K2" s="93">
        <f>'Crop Budget (Main)'!$K$15</f>
        <v>100</v>
      </c>
    </row>
    <row r="3" spans="1:11">
      <c r="A3" s="14"/>
      <c r="B3" s="441" t="s">
        <v>78</v>
      </c>
      <c r="C3" s="441" t="s">
        <v>137</v>
      </c>
      <c r="D3" s="441" t="s">
        <v>138</v>
      </c>
      <c r="E3" s="16"/>
      <c r="F3" s="375" t="s">
        <v>584</v>
      </c>
    </row>
    <row r="4" spans="1:11">
      <c r="A4" s="376" t="s">
        <v>672</v>
      </c>
      <c r="B4" s="456">
        <v>6887</v>
      </c>
      <c r="C4" s="456">
        <v>7268</v>
      </c>
      <c r="D4" s="456">
        <v>3370</v>
      </c>
      <c r="E4" s="16"/>
      <c r="F4" s="378">
        <f>SUM(B4:E4)</f>
        <v>17525</v>
      </c>
    </row>
    <row r="5" spans="1:11">
      <c r="A5" s="14"/>
      <c r="B5" s="14"/>
      <c r="C5" s="182"/>
      <c r="D5" s="16"/>
      <c r="E5" s="182"/>
      <c r="F5" s="14"/>
    </row>
    <row r="6" spans="1:11" s="14" customFormat="1">
      <c r="B6" s="91" t="s">
        <v>636</v>
      </c>
      <c r="C6" s="91" t="s">
        <v>637</v>
      </c>
      <c r="D6" s="91" t="s">
        <v>638</v>
      </c>
      <c r="E6" s="182"/>
    </row>
    <row r="7" spans="1:11">
      <c r="A7" s="14" t="s">
        <v>625</v>
      </c>
      <c r="B7" s="379">
        <f>B4/I2</f>
        <v>68.87</v>
      </c>
      <c r="C7" s="379">
        <f>C4/J2</f>
        <v>72.680000000000007</v>
      </c>
      <c r="D7" s="379">
        <f>D4/K2</f>
        <v>33.700000000000003</v>
      </c>
      <c r="E7" s="380"/>
      <c r="F7" s="377"/>
    </row>
    <row r="8" spans="1:11">
      <c r="A8" s="14"/>
      <c r="B8" s="14"/>
      <c r="C8" s="16"/>
      <c r="D8" s="16"/>
      <c r="E8" s="16"/>
      <c r="F8" s="14"/>
    </row>
    <row r="9" spans="1:11">
      <c r="A9" s="14"/>
      <c r="B9" s="14"/>
      <c r="C9" s="182" t="s">
        <v>153</v>
      </c>
      <c r="D9" s="16"/>
      <c r="E9" s="16"/>
      <c r="F9" s="14"/>
    </row>
    <row r="10" spans="1:11">
      <c r="A10" s="14" t="s">
        <v>673</v>
      </c>
      <c r="B10" t="s">
        <v>627</v>
      </c>
      <c r="C10" s="456">
        <v>0</v>
      </c>
      <c r="E10" s="388"/>
    </row>
    <row r="11" spans="1:11">
      <c r="A11" s="14"/>
      <c r="E11" s="379"/>
    </row>
    <row r="12" spans="1:11">
      <c r="B12" s="91" t="s">
        <v>639</v>
      </c>
      <c r="C12" s="91" t="s">
        <v>640</v>
      </c>
      <c r="D12" s="91" t="s">
        <v>641</v>
      </c>
      <c r="F12" s="375" t="s">
        <v>584</v>
      </c>
    </row>
    <row r="13" spans="1:11">
      <c r="B13" s="379">
        <f>$C$10/($I$2+$J$2+$K$2)*I2</f>
        <v>0</v>
      </c>
      <c r="C13" s="379">
        <f>$C$10/($I$2+$J$2+$K$2)*J2</f>
        <v>0</v>
      </c>
      <c r="D13" s="379">
        <f>$C$10/($I$2+$J$2+$K$2)*K2</f>
        <v>0</v>
      </c>
      <c r="F13" s="378">
        <f>SUM(B13:E13)</f>
        <v>0</v>
      </c>
    </row>
    <row r="15" spans="1:11">
      <c r="B15" s="91" t="s">
        <v>636</v>
      </c>
      <c r="C15" s="91" t="s">
        <v>637</v>
      </c>
      <c r="D15" s="91" t="s">
        <v>638</v>
      </c>
    </row>
    <row r="16" spans="1:11">
      <c r="B16" s="379">
        <f>B13/I2</f>
        <v>0</v>
      </c>
      <c r="C16" s="379">
        <f>C13/J2</f>
        <v>0</v>
      </c>
      <c r="D16" s="379">
        <f>D13/K2</f>
        <v>0</v>
      </c>
    </row>
    <row r="18" spans="1:6">
      <c r="A18" t="s">
        <v>628</v>
      </c>
      <c r="B18" s="14"/>
      <c r="C18" s="182" t="s">
        <v>153</v>
      </c>
      <c r="D18" s="16"/>
    </row>
    <row r="19" spans="1:6">
      <c r="A19" t="s">
        <v>629</v>
      </c>
      <c r="B19" s="14" t="s">
        <v>627</v>
      </c>
      <c r="C19" s="456">
        <v>0</v>
      </c>
      <c r="D19" s="14"/>
    </row>
    <row r="20" spans="1:6">
      <c r="B20" s="14"/>
      <c r="C20" s="14"/>
      <c r="D20" s="14"/>
    </row>
    <row r="21" spans="1:6">
      <c r="B21" s="91" t="s">
        <v>639</v>
      </c>
      <c r="C21" s="91" t="s">
        <v>640</v>
      </c>
      <c r="D21" s="91" t="s">
        <v>641</v>
      </c>
      <c r="F21" s="375" t="s">
        <v>584</v>
      </c>
    </row>
    <row r="22" spans="1:6">
      <c r="B22" s="379">
        <f>$C$19/($I$2+$J$2+$K$2)*I2</f>
        <v>0</v>
      </c>
      <c r="C22" s="379">
        <f>$C$19/($I$2+$J$2+$K$2)*J2</f>
        <v>0</v>
      </c>
      <c r="D22" s="379">
        <f>$C$19/($I$2+$J$2+$K$2)*K2</f>
        <v>0</v>
      </c>
      <c r="F22" s="378">
        <f>SUM(B22:E22)</f>
        <v>0</v>
      </c>
    </row>
    <row r="23" spans="1:6">
      <c r="B23" s="14"/>
      <c r="C23" s="14"/>
      <c r="D23" s="14"/>
    </row>
    <row r="24" spans="1:6">
      <c r="B24" s="91" t="s">
        <v>636</v>
      </c>
      <c r="C24" s="91" t="s">
        <v>637</v>
      </c>
      <c r="D24" s="91" t="s">
        <v>638</v>
      </c>
    </row>
    <row r="25" spans="1:6" ht="15.75">
      <c r="B25" s="379">
        <f>B22/I2</f>
        <v>0</v>
      </c>
      <c r="C25" s="379">
        <f>C22/J2</f>
        <v>0</v>
      </c>
      <c r="D25" s="379">
        <f>D22/K2</f>
        <v>0</v>
      </c>
      <c r="F25" s="382" t="s">
        <v>439</v>
      </c>
    </row>
    <row r="26" spans="1:6" ht="15.75">
      <c r="F26" s="382" t="s">
        <v>440</v>
      </c>
    </row>
    <row r="27" spans="1:6">
      <c r="F27" s="886" t="s">
        <v>438</v>
      </c>
    </row>
    <row r="28" spans="1:6">
      <c r="F28" s="886"/>
    </row>
    <row r="30" spans="1:6">
      <c r="A30" t="s">
        <v>632</v>
      </c>
      <c r="B30" s="91" t="s">
        <v>639</v>
      </c>
      <c r="C30" s="91" t="s">
        <v>640</v>
      </c>
      <c r="D30" s="91" t="s">
        <v>641</v>
      </c>
    </row>
    <row r="31" spans="1:6">
      <c r="B31" s="379">
        <f>B22+B13+B4</f>
        <v>6887</v>
      </c>
      <c r="C31" s="379">
        <f t="shared" ref="C31:D31" si="0">C22+C13+C4</f>
        <v>7268</v>
      </c>
      <c r="D31" s="379">
        <f t="shared" si="0"/>
        <v>3370</v>
      </c>
    </row>
    <row r="32" spans="1:6">
      <c r="B32" s="14"/>
      <c r="C32" s="14"/>
      <c r="D32" s="14"/>
    </row>
    <row r="33" spans="1:6">
      <c r="B33" s="91" t="s">
        <v>636</v>
      </c>
      <c r="C33" s="91" t="s">
        <v>637</v>
      </c>
      <c r="D33" s="91" t="s">
        <v>638</v>
      </c>
    </row>
    <row r="34" spans="1:6">
      <c r="B34" s="379">
        <f>B31/I2</f>
        <v>68.87</v>
      </c>
      <c r="C34" s="379">
        <f>C31/J2</f>
        <v>72.680000000000007</v>
      </c>
      <c r="D34" s="379">
        <f>D31/K2</f>
        <v>33.700000000000003</v>
      </c>
    </row>
    <row r="36" spans="1:6" s="14" customFormat="1"/>
    <row r="37" spans="1:6" ht="18.75">
      <c r="A37" s="935" t="s">
        <v>103</v>
      </c>
      <c r="B37" s="935"/>
      <c r="C37" s="935"/>
      <c r="D37" s="935"/>
      <c r="E37" s="935"/>
      <c r="F37" s="935"/>
    </row>
    <row r="38" spans="1:6">
      <c r="B38" s="182" t="s">
        <v>153</v>
      </c>
      <c r="C38" s="182" t="s">
        <v>153</v>
      </c>
      <c r="D38" s="182" t="s">
        <v>153</v>
      </c>
    </row>
    <row r="39" spans="1:6">
      <c r="A39" t="s">
        <v>675</v>
      </c>
      <c r="B39" s="441" t="s">
        <v>78</v>
      </c>
      <c r="C39" s="441" t="s">
        <v>137</v>
      </c>
      <c r="D39" s="441" t="s">
        <v>138</v>
      </c>
    </row>
    <row r="40" spans="1:6">
      <c r="B40" s="456">
        <v>2422</v>
      </c>
      <c r="C40" s="456">
        <v>1401</v>
      </c>
      <c r="D40" s="456">
        <v>2470</v>
      </c>
    </row>
    <row r="41" spans="1:6">
      <c r="B41" s="14"/>
      <c r="C41" s="182"/>
      <c r="D41" s="16"/>
    </row>
    <row r="42" spans="1:6">
      <c r="B42" s="91" t="s">
        <v>636</v>
      </c>
      <c r="C42" s="91" t="s">
        <v>637</v>
      </c>
      <c r="D42" s="91" t="s">
        <v>638</v>
      </c>
    </row>
    <row r="43" spans="1:6">
      <c r="B43" s="379">
        <f>B40/I2</f>
        <v>24.22</v>
      </c>
      <c r="C43" s="379">
        <f>C40/J2</f>
        <v>14.01</v>
      </c>
      <c r="D43" s="379">
        <f>D40/K2</f>
        <v>24.7</v>
      </c>
    </row>
    <row r="44" spans="1:6">
      <c r="B44" s="14"/>
      <c r="C44" s="16"/>
      <c r="D44" s="16"/>
    </row>
    <row r="45" spans="1:6">
      <c r="B45" s="14"/>
      <c r="C45" s="182" t="s">
        <v>153</v>
      </c>
      <c r="D45" s="16"/>
    </row>
    <row r="46" spans="1:6">
      <c r="B46" s="14" t="s">
        <v>627</v>
      </c>
      <c r="C46" s="456">
        <v>0</v>
      </c>
      <c r="D46" s="14"/>
    </row>
    <row r="47" spans="1:6">
      <c r="B47" s="14"/>
      <c r="C47" s="14"/>
      <c r="D47" s="14"/>
    </row>
    <row r="48" spans="1:6">
      <c r="B48" s="91" t="s">
        <v>639</v>
      </c>
      <c r="C48" s="91" t="s">
        <v>640</v>
      </c>
      <c r="D48" s="91" t="s">
        <v>641</v>
      </c>
    </row>
    <row r="49" spans="1:4">
      <c r="B49" s="379">
        <f>$C$46/($I$2+$J$2+$K$2)*I2</f>
        <v>0</v>
      </c>
      <c r="C49" s="379">
        <f>$C$46/($I$2+$J$2+$K$2)*J2</f>
        <v>0</v>
      </c>
      <c r="D49" s="379">
        <f>$C$46/($I$2+$J$2+$K$2)*K2</f>
        <v>0</v>
      </c>
    </row>
    <row r="50" spans="1:4">
      <c r="B50" s="14"/>
      <c r="C50" s="14"/>
      <c r="D50" s="14"/>
    </row>
    <row r="51" spans="1:4">
      <c r="B51" s="91" t="s">
        <v>636</v>
      </c>
      <c r="C51" s="91" t="s">
        <v>637</v>
      </c>
      <c r="D51" s="91" t="s">
        <v>638</v>
      </c>
    </row>
    <row r="52" spans="1:4">
      <c r="B52" s="379">
        <f>B49/I2</f>
        <v>0</v>
      </c>
      <c r="C52" s="379">
        <f>C49/J2</f>
        <v>0</v>
      </c>
      <c r="D52" s="379">
        <f>D49/K2</f>
        <v>0</v>
      </c>
    </row>
    <row r="56" spans="1:4">
      <c r="A56" s="14" t="s">
        <v>676</v>
      </c>
      <c r="B56" s="91" t="s">
        <v>639</v>
      </c>
      <c r="C56" s="91" t="s">
        <v>640</v>
      </c>
      <c r="D56" s="91" t="s">
        <v>641</v>
      </c>
    </row>
    <row r="57" spans="1:4">
      <c r="A57" s="14"/>
      <c r="B57" s="379">
        <f>B49+B40</f>
        <v>2422</v>
      </c>
      <c r="C57" s="379">
        <f t="shared" ref="C57:D57" si="1">C49+C40</f>
        <v>1401</v>
      </c>
      <c r="D57" s="379">
        <f t="shared" si="1"/>
        <v>2470</v>
      </c>
    </row>
    <row r="58" spans="1:4">
      <c r="A58" s="14"/>
      <c r="B58" s="14"/>
      <c r="C58" s="14"/>
      <c r="D58" s="14"/>
    </row>
    <row r="59" spans="1:4">
      <c r="A59" s="14"/>
      <c r="B59" s="91" t="s">
        <v>636</v>
      </c>
      <c r="C59" s="91" t="s">
        <v>637</v>
      </c>
      <c r="D59" s="91" t="s">
        <v>638</v>
      </c>
    </row>
    <row r="60" spans="1:4">
      <c r="A60" s="14"/>
      <c r="B60" s="379">
        <f>B57/I2</f>
        <v>24.22</v>
      </c>
      <c r="C60" s="379">
        <f t="shared" ref="C60:D60" si="2">C57/J2</f>
        <v>14.01</v>
      </c>
      <c r="D60" s="379">
        <f t="shared" si="2"/>
        <v>24.7</v>
      </c>
    </row>
  </sheetData>
  <sheetProtection algorithmName="SHA-512" hashValue="qblkNjTSzRcmM3XFFobjbJUc2DwyRM2il/CMDxOoqDqi8BGT+cHInQokCQVIbhBHSVnFPnBl8fcxdUN28CD3uQ==" saltValue="Gqdtn95rzTD1MHEIOUKRNw==" spinCount="100000" sheet="1" objects="1" scenarios="1"/>
  <mergeCells count="3">
    <mergeCell ref="A1:F1"/>
    <mergeCell ref="F27:F28"/>
    <mergeCell ref="A37:F37"/>
  </mergeCells>
  <pageMargins left="0.7" right="0.7" top="0.75" bottom="0.75" header="0.3" footer="0.3"/>
  <pageSetup scale="74" orientation="portrait" horizontalDpi="4294967293"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1B5E6-05EB-47E2-A192-CB6F6380FE38}">
  <sheetPr codeName="Sheet15"/>
  <dimension ref="A1:M60"/>
  <sheetViews>
    <sheetView zoomScaleNormal="100" workbookViewId="0">
      <selection activeCell="H19" sqref="H19"/>
    </sheetView>
  </sheetViews>
  <sheetFormatPr defaultRowHeight="15"/>
  <cols>
    <col min="2" max="2" width="25" bestFit="1" customWidth="1"/>
    <col min="3" max="3" width="13.42578125" bestFit="1" customWidth="1"/>
    <col min="4" max="4" width="16.85546875" bestFit="1" customWidth="1"/>
    <col min="5" max="5" width="20.28515625" customWidth="1"/>
    <col min="6" max="6" width="33.140625" bestFit="1" customWidth="1"/>
    <col min="7" max="7" width="14.42578125" bestFit="1" customWidth="1"/>
    <col min="10" max="10" width="16.85546875" bestFit="1" customWidth="1"/>
    <col min="11" max="11" width="14.5703125" bestFit="1" customWidth="1"/>
    <col min="12" max="12" width="15.85546875" bestFit="1" customWidth="1"/>
  </cols>
  <sheetData>
    <row r="1" spans="1:12" s="14" customFormat="1" ht="18.75">
      <c r="A1" s="939" t="s">
        <v>686</v>
      </c>
      <c r="B1" s="939"/>
      <c r="C1" s="939"/>
      <c r="D1" s="939"/>
      <c r="E1" s="939"/>
      <c r="F1" s="939"/>
      <c r="G1" s="939"/>
    </row>
    <row r="2" spans="1:12" ht="15.75">
      <c r="A2" s="655"/>
      <c r="B2" s="639"/>
      <c r="C2" s="656" t="s">
        <v>683</v>
      </c>
      <c r="D2" s="656" t="s">
        <v>129</v>
      </c>
      <c r="E2" s="656" t="s">
        <v>682</v>
      </c>
      <c r="F2" s="657" t="s">
        <v>685</v>
      </c>
      <c r="G2" s="639" t="s">
        <v>813</v>
      </c>
      <c r="H2" s="14"/>
      <c r="I2" s="14"/>
      <c r="J2" s="14"/>
      <c r="K2" s="421"/>
    </row>
    <row r="3" spans="1:12" s="14" customFormat="1" ht="15.75">
      <c r="A3" s="12"/>
      <c r="B3" s="658"/>
      <c r="C3" s="659"/>
      <c r="D3" s="678" t="s">
        <v>153</v>
      </c>
      <c r="E3" s="659"/>
      <c r="F3" s="660"/>
      <c r="G3" s="12"/>
      <c r="K3" s="421"/>
    </row>
    <row r="4" spans="1:12" ht="15.75">
      <c r="A4" s="12"/>
      <c r="B4" s="655" t="s">
        <v>78</v>
      </c>
      <c r="C4" s="661">
        <f>'Crop Budget (Main)'!C15</f>
        <v>100</v>
      </c>
      <c r="D4" s="444">
        <v>100</v>
      </c>
      <c r="E4" s="662">
        <f>'Crop Budget (Main)'!C21</f>
        <v>711.67200000000003</v>
      </c>
      <c r="F4" s="662">
        <f>'Crop Budget (Main)'!C64</f>
        <v>676.40088333333324</v>
      </c>
      <c r="G4" s="647">
        <f>E4-F4</f>
        <v>35.271116666666785</v>
      </c>
      <c r="H4" s="14"/>
      <c r="I4" s="14"/>
      <c r="J4" s="14"/>
      <c r="K4" s="14"/>
    </row>
    <row r="5" spans="1:12" ht="15.75">
      <c r="A5" s="12"/>
      <c r="B5" s="655" t="s">
        <v>137</v>
      </c>
      <c r="C5" s="661">
        <f>'Crop Budget (Main)'!G15</f>
        <v>100</v>
      </c>
      <c r="D5" s="444">
        <v>100</v>
      </c>
      <c r="E5" s="662">
        <f>'Crop Budget (Main)'!G21</f>
        <v>484.625</v>
      </c>
      <c r="F5" s="662">
        <f>'Crop Budget (Main)'!G64</f>
        <v>442.86395833333336</v>
      </c>
      <c r="G5" s="647">
        <f t="shared" ref="G5:G6" si="0">E5-F5</f>
        <v>41.761041666666642</v>
      </c>
      <c r="H5" s="14"/>
      <c r="I5" s="14"/>
      <c r="J5" s="14"/>
      <c r="K5" s="14"/>
    </row>
    <row r="6" spans="1:12" ht="15.75">
      <c r="A6" s="12"/>
      <c r="B6" s="655" t="s">
        <v>138</v>
      </c>
      <c r="C6" s="661">
        <f>'Crop Budget (Main)'!K15</f>
        <v>100</v>
      </c>
      <c r="D6" s="444">
        <v>100</v>
      </c>
      <c r="E6" s="662">
        <f>'Crop Budget (Main)'!K21</f>
        <v>417.21269999999998</v>
      </c>
      <c r="F6" s="662">
        <f>'Crop Budget (Main)'!K64</f>
        <v>424.24241666666671</v>
      </c>
      <c r="G6" s="647">
        <f t="shared" si="0"/>
        <v>-7.0297166666667295</v>
      </c>
      <c r="H6" s="14"/>
      <c r="I6" s="14"/>
      <c r="J6" s="14"/>
      <c r="K6" s="14"/>
    </row>
    <row r="7" spans="1:12" ht="15.75">
      <c r="A7" s="655"/>
      <c r="B7" s="655"/>
      <c r="C7" s="4"/>
      <c r="D7" s="4"/>
      <c r="E7" s="4"/>
      <c r="F7" s="655"/>
      <c r="G7" s="12"/>
      <c r="H7" s="14"/>
      <c r="I7" s="940" t="s">
        <v>821</v>
      </c>
      <c r="J7" s="941"/>
      <c r="K7" s="941"/>
      <c r="L7" s="942"/>
    </row>
    <row r="8" spans="1:12" ht="15.75">
      <c r="A8" s="655"/>
      <c r="B8" s="655"/>
      <c r="C8" s="663"/>
      <c r="D8" s="16"/>
      <c r="E8" s="631" t="s">
        <v>153</v>
      </c>
      <c r="F8" s="655"/>
      <c r="G8" s="12"/>
      <c r="H8" s="14"/>
      <c r="I8" s="793"/>
      <c r="J8" s="794" t="s">
        <v>818</v>
      </c>
      <c r="K8" s="794" t="s">
        <v>819</v>
      </c>
      <c r="L8" s="794" t="s">
        <v>820</v>
      </c>
    </row>
    <row r="9" spans="1:12" ht="15.75">
      <c r="A9" s="655"/>
      <c r="B9" s="655" t="s">
        <v>688</v>
      </c>
      <c r="C9" s="664">
        <f>SUMPRODUCT(D4:D6,F4:F6)</f>
        <v>154350.72583333333</v>
      </c>
      <c r="D9" s="663" t="s">
        <v>677</v>
      </c>
      <c r="E9" s="665">
        <v>150000</v>
      </c>
      <c r="F9" s="666" t="s">
        <v>715</v>
      </c>
      <c r="G9" s="12"/>
      <c r="H9" s="14"/>
      <c r="I9" s="794" t="s">
        <v>78</v>
      </c>
      <c r="J9" s="795">
        <f>D4*'Crop Budget (Main)'!C14</f>
        <v>15740</v>
      </c>
      <c r="K9" s="796" t="s">
        <v>677</v>
      </c>
      <c r="L9" s="444">
        <v>9000</v>
      </c>
    </row>
    <row r="10" spans="1:12" ht="15.75">
      <c r="A10" s="655"/>
      <c r="B10" s="655" t="s">
        <v>678</v>
      </c>
      <c r="C10" s="667">
        <f>D4</f>
        <v>100</v>
      </c>
      <c r="D10" s="663" t="s">
        <v>679</v>
      </c>
      <c r="E10" s="444">
        <v>50</v>
      </c>
      <c r="F10" s="668" t="s">
        <v>716</v>
      </c>
      <c r="G10" s="12"/>
      <c r="H10" s="14"/>
      <c r="I10" s="794" t="s">
        <v>137</v>
      </c>
      <c r="J10" s="795">
        <f>D5*'Crop Budget (Main)'!G14</f>
        <v>4302</v>
      </c>
      <c r="K10" s="796" t="s">
        <v>677</v>
      </c>
      <c r="L10" s="444">
        <v>10000</v>
      </c>
    </row>
    <row r="11" spans="1:12" ht="15.75">
      <c r="A11" s="655"/>
      <c r="B11" s="655" t="s">
        <v>680</v>
      </c>
      <c r="C11" s="667">
        <f>D5</f>
        <v>100</v>
      </c>
      <c r="D11" s="663" t="s">
        <v>679</v>
      </c>
      <c r="E11" s="444">
        <v>100</v>
      </c>
      <c r="F11" s="669" t="s">
        <v>717</v>
      </c>
      <c r="G11" s="12"/>
      <c r="H11" s="14"/>
      <c r="I11" s="794" t="s">
        <v>138</v>
      </c>
      <c r="J11" s="795">
        <f>D6*'Crop Budget (Main)'!K14</f>
        <v>6887</v>
      </c>
      <c r="K11" s="796" t="s">
        <v>677</v>
      </c>
      <c r="L11" s="444">
        <v>9000</v>
      </c>
    </row>
    <row r="12" spans="1:12" ht="15.75">
      <c r="A12" s="655"/>
      <c r="B12" s="655" t="s">
        <v>681</v>
      </c>
      <c r="C12" s="667">
        <f>D6</f>
        <v>100</v>
      </c>
      <c r="D12" s="663" t="s">
        <v>679</v>
      </c>
      <c r="E12" s="444">
        <v>50</v>
      </c>
      <c r="F12" s="669" t="s">
        <v>718</v>
      </c>
      <c r="G12" s="12"/>
      <c r="H12" s="14"/>
      <c r="I12" s="14"/>
      <c r="J12" s="792"/>
      <c r="K12" s="792"/>
      <c r="L12" s="792"/>
    </row>
    <row r="13" spans="1:12" ht="16.5" thickBot="1">
      <c r="A13" s="655"/>
      <c r="B13" s="670" t="s">
        <v>129</v>
      </c>
      <c r="C13" s="671">
        <f>SUM(D4:D6)</f>
        <v>300</v>
      </c>
      <c r="D13" s="672" t="s">
        <v>284</v>
      </c>
      <c r="E13" s="673">
        <v>300</v>
      </c>
      <c r="F13" s="674" t="s">
        <v>719</v>
      </c>
      <c r="G13" s="670"/>
    </row>
    <row r="14" spans="1:12" ht="16.5" thickTop="1">
      <c r="A14" s="12"/>
      <c r="B14" s="655"/>
      <c r="C14" s="4"/>
      <c r="D14" s="4"/>
      <c r="E14" s="4"/>
      <c r="F14" s="655"/>
      <c r="G14" s="12"/>
    </row>
    <row r="15" spans="1:12" ht="15.75">
      <c r="A15" s="12"/>
      <c r="B15" s="4" t="s">
        <v>814</v>
      </c>
      <c r="C15" s="675">
        <f>SUMPRODUCT(D4:D6,G4:G6)</f>
        <v>7000.24416666667</v>
      </c>
      <c r="D15" s="676" t="s">
        <v>720</v>
      </c>
      <c r="E15" s="4"/>
      <c r="F15" s="655"/>
      <c r="G15" s="12"/>
    </row>
    <row r="16" spans="1:12" ht="15.75">
      <c r="A16" s="12"/>
      <c r="B16" s="12"/>
      <c r="C16" s="12"/>
      <c r="D16" s="12"/>
      <c r="E16" s="12"/>
      <c r="F16" s="12"/>
      <c r="G16" s="12"/>
    </row>
    <row r="17" spans="1:12" ht="15.75">
      <c r="A17" s="12"/>
      <c r="B17" s="12"/>
      <c r="C17" s="12"/>
      <c r="D17" s="12"/>
      <c r="E17" s="12"/>
      <c r="F17" s="12"/>
      <c r="G17" s="12"/>
    </row>
    <row r="18" spans="1:12" ht="15.75">
      <c r="A18" s="12"/>
      <c r="B18" s="12"/>
      <c r="C18" s="12"/>
      <c r="D18" s="12"/>
      <c r="E18" s="12"/>
      <c r="F18" s="12"/>
      <c r="G18" s="677"/>
    </row>
    <row r="19" spans="1:12" ht="15.75">
      <c r="A19" s="12"/>
      <c r="B19" s="12"/>
      <c r="C19" s="12"/>
      <c r="D19" s="12"/>
      <c r="E19" s="12"/>
      <c r="F19" s="12"/>
      <c r="G19" s="12"/>
    </row>
    <row r="20" spans="1:12" ht="15.75">
      <c r="A20" s="12"/>
      <c r="B20" s="639" t="s">
        <v>687</v>
      </c>
      <c r="C20" s="12"/>
      <c r="D20" s="12"/>
      <c r="E20" s="12"/>
      <c r="F20" s="12"/>
      <c r="G20" s="12"/>
      <c r="I20" s="944" t="s">
        <v>822</v>
      </c>
      <c r="J20" s="944"/>
      <c r="K20" s="944"/>
      <c r="L20" s="944"/>
    </row>
    <row r="21" spans="1:12" ht="15.75">
      <c r="A21" s="12"/>
      <c r="B21" s="938" t="s">
        <v>828</v>
      </c>
      <c r="C21" s="938"/>
      <c r="D21" s="938"/>
      <c r="E21" s="938"/>
      <c r="F21" s="938"/>
      <c r="G21" s="12"/>
      <c r="I21" s="943" t="s">
        <v>823</v>
      </c>
      <c r="J21" s="943"/>
      <c r="K21" s="943"/>
      <c r="L21" s="943"/>
    </row>
    <row r="22" spans="1:12" s="14" customFormat="1" ht="15.75">
      <c r="A22" s="12"/>
      <c r="B22" s="938"/>
      <c r="C22" s="938"/>
      <c r="D22" s="938"/>
      <c r="E22" s="938"/>
      <c r="F22" s="938"/>
      <c r="G22" s="12"/>
      <c r="I22" s="943"/>
      <c r="J22" s="943"/>
      <c r="K22" s="943"/>
      <c r="L22" s="943"/>
    </row>
    <row r="23" spans="1:12" ht="15.75">
      <c r="A23" s="12"/>
      <c r="B23" s="12" t="s">
        <v>816</v>
      </c>
      <c r="C23" s="12"/>
      <c r="D23" s="12"/>
      <c r="E23" s="12"/>
      <c r="F23" s="12"/>
      <c r="G23" s="12"/>
      <c r="I23" s="943" t="s">
        <v>824</v>
      </c>
      <c r="J23" s="943"/>
      <c r="K23" s="943"/>
      <c r="L23" s="943"/>
    </row>
    <row r="24" spans="1:12" ht="15.75">
      <c r="A24" s="12"/>
      <c r="B24" s="12" t="s">
        <v>689</v>
      </c>
      <c r="C24" s="12"/>
      <c r="D24" s="12"/>
      <c r="E24" s="12"/>
      <c r="F24" s="12"/>
      <c r="G24" s="12"/>
      <c r="I24" s="943"/>
      <c r="J24" s="943"/>
      <c r="K24" s="943"/>
      <c r="L24" s="943"/>
    </row>
    <row r="25" spans="1:12" ht="15.75">
      <c r="A25" s="12"/>
      <c r="B25" s="12" t="s">
        <v>690</v>
      </c>
      <c r="C25" s="12"/>
      <c r="D25" s="12"/>
      <c r="E25" s="12"/>
      <c r="F25" s="12"/>
      <c r="G25" s="12"/>
      <c r="I25" t="s">
        <v>825</v>
      </c>
    </row>
    <row r="26" spans="1:12" ht="15.75">
      <c r="A26" s="12"/>
      <c r="B26" s="938" t="s">
        <v>817</v>
      </c>
      <c r="C26" s="938"/>
      <c r="D26" s="938"/>
      <c r="E26" s="938"/>
      <c r="F26" s="938"/>
      <c r="G26" s="12"/>
      <c r="I26" t="s">
        <v>826</v>
      </c>
    </row>
    <row r="27" spans="1:12" s="14" customFormat="1" ht="15.75">
      <c r="A27" s="12"/>
      <c r="B27" s="938"/>
      <c r="C27" s="938"/>
      <c r="D27" s="938"/>
      <c r="E27" s="938"/>
      <c r="F27" s="938"/>
      <c r="G27" s="12"/>
    </row>
    <row r="58" spans="2:13">
      <c r="I58" s="938" t="s">
        <v>827</v>
      </c>
      <c r="J58" s="938"/>
      <c r="K58" s="938"/>
      <c r="L58" s="938"/>
      <c r="M58" s="938"/>
    </row>
    <row r="59" spans="2:13">
      <c r="B59" s="938" t="s">
        <v>815</v>
      </c>
      <c r="C59" s="938"/>
      <c r="D59" s="938"/>
      <c r="E59" s="938"/>
      <c r="F59" s="938"/>
      <c r="I59" s="938"/>
      <c r="J59" s="938"/>
      <c r="K59" s="938"/>
      <c r="L59" s="938"/>
      <c r="M59" s="938"/>
    </row>
    <row r="60" spans="2:13">
      <c r="B60" s="938"/>
      <c r="C60" s="938"/>
      <c r="D60" s="938"/>
      <c r="E60" s="938"/>
      <c r="F60" s="938"/>
    </row>
  </sheetData>
  <mergeCells count="9">
    <mergeCell ref="B21:F22"/>
    <mergeCell ref="B26:F27"/>
    <mergeCell ref="B59:F60"/>
    <mergeCell ref="A1:G1"/>
    <mergeCell ref="I7:L7"/>
    <mergeCell ref="I21:L22"/>
    <mergeCell ref="I23:L24"/>
    <mergeCell ref="I58:M59"/>
    <mergeCell ref="I20:L20"/>
  </mergeCells>
  <pageMargins left="0.7" right="0.7" top="0.75" bottom="0.75" header="0.3" footer="0.3"/>
  <pageSetup scale="68"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F180"/>
  <sheetViews>
    <sheetView topLeftCell="A22" workbookViewId="0">
      <selection activeCell="H28" sqref="H28"/>
    </sheetView>
  </sheetViews>
  <sheetFormatPr defaultRowHeight="15"/>
  <cols>
    <col min="1" max="1" width="61.42578125" bestFit="1" customWidth="1"/>
    <col min="2" max="2" width="11.140625" bestFit="1" customWidth="1"/>
    <col min="4" max="4" width="11.140625" bestFit="1" customWidth="1"/>
    <col min="5" max="5" width="12.28515625" bestFit="1" customWidth="1"/>
    <col min="6" max="6" width="12.85546875" style="10" customWidth="1"/>
    <col min="7" max="7" width="2" bestFit="1" customWidth="1"/>
    <col min="8" max="8" width="11" bestFit="1" customWidth="1"/>
  </cols>
  <sheetData>
    <row r="1" spans="1:6" s="6" customFormat="1">
      <c r="A1" s="9">
        <v>1</v>
      </c>
      <c r="B1" s="9">
        <v>2</v>
      </c>
      <c r="C1" s="9">
        <v>3</v>
      </c>
      <c r="D1" s="9">
        <v>4</v>
      </c>
      <c r="E1" s="9">
        <v>5</v>
      </c>
      <c r="F1" s="10" t="s">
        <v>266</v>
      </c>
    </row>
    <row r="2" spans="1:6" ht="18.75">
      <c r="A2" s="939" t="s">
        <v>154</v>
      </c>
      <c r="B2" s="939"/>
      <c r="C2" s="939"/>
      <c r="D2" s="939"/>
      <c r="E2" s="939"/>
      <c r="F2" s="939"/>
    </row>
    <row r="3" spans="1:6">
      <c r="A3" t="s">
        <v>48</v>
      </c>
      <c r="B3" t="s">
        <v>51</v>
      </c>
      <c r="C3" t="s">
        <v>50</v>
      </c>
      <c r="D3" t="s">
        <v>49</v>
      </c>
      <c r="E3" t="s">
        <v>228</v>
      </c>
      <c r="F3" s="10" t="s">
        <v>229</v>
      </c>
    </row>
    <row r="4" spans="1:6">
      <c r="A4" s="14" t="s">
        <v>13</v>
      </c>
      <c r="C4" s="14">
        <v>1</v>
      </c>
      <c r="D4" t="s">
        <v>13</v>
      </c>
      <c r="E4" s="6" t="s">
        <v>13</v>
      </c>
      <c r="F4" s="420"/>
    </row>
    <row r="5" spans="1:6" ht="15.75">
      <c r="A5" s="2" t="s">
        <v>186</v>
      </c>
      <c r="B5" t="s">
        <v>52</v>
      </c>
      <c r="C5" s="3">
        <v>4</v>
      </c>
      <c r="D5" t="s">
        <v>55</v>
      </c>
      <c r="E5" t="s">
        <v>199</v>
      </c>
      <c r="F5" s="10" t="s">
        <v>253</v>
      </c>
    </row>
    <row r="6" spans="1:6" ht="15.75">
      <c r="A6" s="2" t="s">
        <v>187</v>
      </c>
      <c r="B6" t="s">
        <v>52</v>
      </c>
      <c r="C6" s="3">
        <v>4</v>
      </c>
      <c r="D6" t="s">
        <v>55</v>
      </c>
      <c r="E6" t="s">
        <v>199</v>
      </c>
      <c r="F6" s="10" t="s">
        <v>254</v>
      </c>
    </row>
    <row r="7" spans="1:6" ht="15.75">
      <c r="A7" s="2" t="s">
        <v>189</v>
      </c>
      <c r="B7" t="s">
        <v>54</v>
      </c>
      <c r="C7" s="3">
        <v>8</v>
      </c>
      <c r="D7" t="s">
        <v>55</v>
      </c>
      <c r="E7" t="s">
        <v>199</v>
      </c>
      <c r="F7" s="10" t="s">
        <v>233</v>
      </c>
    </row>
    <row r="8" spans="1:6" ht="15.75">
      <c r="A8" s="2" t="s">
        <v>188</v>
      </c>
      <c r="B8" t="s">
        <v>57</v>
      </c>
      <c r="C8" s="3">
        <v>128</v>
      </c>
      <c r="D8" t="s">
        <v>58</v>
      </c>
      <c r="E8" s="6" t="s">
        <v>199</v>
      </c>
      <c r="F8" s="10" t="s">
        <v>255</v>
      </c>
    </row>
    <row r="9" spans="1:6" s="6" customFormat="1" ht="15.75">
      <c r="A9" s="7" t="s">
        <v>59</v>
      </c>
      <c r="B9" s="6" t="s">
        <v>57</v>
      </c>
      <c r="C9" s="8">
        <v>128</v>
      </c>
      <c r="D9" s="6" t="s">
        <v>58</v>
      </c>
      <c r="E9" s="6" t="s">
        <v>199</v>
      </c>
      <c r="F9" s="10" t="s">
        <v>234</v>
      </c>
    </row>
    <row r="10" spans="1:6" s="6" customFormat="1" ht="15.75">
      <c r="A10" s="7" t="s">
        <v>177</v>
      </c>
      <c r="B10" s="6" t="s">
        <v>60</v>
      </c>
      <c r="C10" s="8">
        <v>1</v>
      </c>
      <c r="D10" s="6" t="s">
        <v>30</v>
      </c>
      <c r="E10" s="6" t="s">
        <v>200</v>
      </c>
      <c r="F10" s="10" t="s">
        <v>246</v>
      </c>
    </row>
    <row r="11" spans="1:6" s="6" customFormat="1" ht="15.75">
      <c r="A11" s="7" t="s">
        <v>176</v>
      </c>
      <c r="B11" s="6" t="s">
        <v>52</v>
      </c>
      <c r="C11" s="8">
        <v>4</v>
      </c>
      <c r="D11" s="6" t="s">
        <v>55</v>
      </c>
      <c r="E11" s="6" t="s">
        <v>200</v>
      </c>
      <c r="F11" s="10" t="s">
        <v>246</v>
      </c>
    </row>
    <row r="12" spans="1:6" s="6" customFormat="1" ht="15.75">
      <c r="A12" s="7" t="s">
        <v>178</v>
      </c>
      <c r="B12" s="6" t="s">
        <v>57</v>
      </c>
      <c r="C12" s="8">
        <v>128</v>
      </c>
      <c r="D12" s="6" t="s">
        <v>55</v>
      </c>
      <c r="E12" s="6" t="s">
        <v>200</v>
      </c>
      <c r="F12" s="10" t="s">
        <v>247</v>
      </c>
    </row>
    <row r="13" spans="1:6" s="6" customFormat="1" ht="15.75">
      <c r="A13" s="7" t="s">
        <v>190</v>
      </c>
      <c r="B13" s="6" t="s">
        <v>57</v>
      </c>
      <c r="C13" s="8">
        <v>128</v>
      </c>
      <c r="D13" s="6" t="s">
        <v>58</v>
      </c>
      <c r="E13" s="6" t="s">
        <v>199</v>
      </c>
      <c r="F13" s="10" t="s">
        <v>242</v>
      </c>
    </row>
    <row r="14" spans="1:6" s="6" customFormat="1" ht="15.75">
      <c r="A14" s="7" t="s">
        <v>257</v>
      </c>
      <c r="B14" s="6" t="s">
        <v>52</v>
      </c>
      <c r="C14" s="8">
        <v>4</v>
      </c>
      <c r="D14" s="6" t="s">
        <v>55</v>
      </c>
      <c r="E14" s="6" t="s">
        <v>199</v>
      </c>
      <c r="F14" s="10" t="s">
        <v>256</v>
      </c>
    </row>
    <row r="15" spans="1:6" s="6" customFormat="1" ht="15.75">
      <c r="A15" s="7" t="s">
        <v>191</v>
      </c>
      <c r="B15" s="6" t="s">
        <v>52</v>
      </c>
      <c r="C15" s="8">
        <v>4</v>
      </c>
      <c r="D15" s="6" t="s">
        <v>55</v>
      </c>
      <c r="E15" s="6" t="s">
        <v>199</v>
      </c>
      <c r="F15" s="10" t="s">
        <v>256</v>
      </c>
    </row>
    <row r="16" spans="1:6" s="6" customFormat="1" ht="15.75">
      <c r="A16" s="7" t="s">
        <v>193</v>
      </c>
      <c r="B16" s="6" t="s">
        <v>52</v>
      </c>
      <c r="C16" s="8">
        <v>4</v>
      </c>
      <c r="D16" s="6" t="s">
        <v>55</v>
      </c>
      <c r="E16" s="6" t="s">
        <v>199</v>
      </c>
      <c r="F16" s="10" t="s">
        <v>256</v>
      </c>
    </row>
    <row r="17" spans="1:6" s="6" customFormat="1" ht="15.75">
      <c r="A17" s="7" t="s">
        <v>192</v>
      </c>
      <c r="B17" s="6" t="s">
        <v>52</v>
      </c>
      <c r="C17" s="8">
        <v>4</v>
      </c>
      <c r="D17" s="6" t="s">
        <v>55</v>
      </c>
      <c r="E17" s="6" t="s">
        <v>199</v>
      </c>
      <c r="F17" s="10" t="s">
        <v>256</v>
      </c>
    </row>
    <row r="18" spans="1:6" s="6" customFormat="1" ht="15.75">
      <c r="A18" s="7" t="s">
        <v>179</v>
      </c>
      <c r="B18" s="6" t="s">
        <v>54</v>
      </c>
      <c r="C18" s="8">
        <v>8</v>
      </c>
      <c r="D18" s="6" t="s">
        <v>55</v>
      </c>
      <c r="E18" s="6" t="s">
        <v>200</v>
      </c>
      <c r="F18" s="10" t="s">
        <v>248</v>
      </c>
    </row>
    <row r="19" spans="1:6" s="6" customFormat="1" ht="15.75">
      <c r="A19" s="7" t="s">
        <v>180</v>
      </c>
      <c r="B19" s="6" t="s">
        <v>57</v>
      </c>
      <c r="C19" s="8">
        <v>128</v>
      </c>
      <c r="D19" s="6" t="s">
        <v>55</v>
      </c>
      <c r="E19" s="6" t="s">
        <v>200</v>
      </c>
      <c r="F19" s="10" t="s">
        <v>247</v>
      </c>
    </row>
    <row r="20" spans="1:6" s="14" customFormat="1" ht="15.75">
      <c r="A20" s="12" t="s">
        <v>772</v>
      </c>
      <c r="B20" s="14" t="s">
        <v>57</v>
      </c>
      <c r="C20" s="13">
        <v>128</v>
      </c>
      <c r="D20" s="14" t="s">
        <v>58</v>
      </c>
      <c r="E20" s="14" t="s">
        <v>199</v>
      </c>
      <c r="F20" s="10" t="s">
        <v>242</v>
      </c>
    </row>
    <row r="21" spans="1:6" s="6" customFormat="1" ht="15.75">
      <c r="A21" s="7" t="s">
        <v>64</v>
      </c>
      <c r="B21" s="6" t="s">
        <v>57</v>
      </c>
      <c r="C21" s="8">
        <v>1</v>
      </c>
      <c r="D21" s="6" t="s">
        <v>58</v>
      </c>
      <c r="E21" s="6" t="s">
        <v>199</v>
      </c>
      <c r="F21" s="10" t="s">
        <v>236</v>
      </c>
    </row>
    <row r="22" spans="1:6" s="6" customFormat="1" ht="15.75">
      <c r="A22" s="7" t="s">
        <v>181</v>
      </c>
      <c r="B22" s="6" t="s">
        <v>52</v>
      </c>
      <c r="C22" s="8">
        <v>4</v>
      </c>
      <c r="D22" s="6" t="s">
        <v>55</v>
      </c>
      <c r="E22" s="6" t="s">
        <v>200</v>
      </c>
      <c r="F22" s="10" t="s">
        <v>248</v>
      </c>
    </row>
    <row r="23" spans="1:6" s="14" customFormat="1" ht="15.75">
      <c r="A23" s="12" t="s">
        <v>263</v>
      </c>
      <c r="B23" s="14" t="s">
        <v>54</v>
      </c>
      <c r="C23" s="13">
        <v>8</v>
      </c>
      <c r="D23" s="14" t="s">
        <v>55</v>
      </c>
      <c r="E23" s="14" t="s">
        <v>230</v>
      </c>
      <c r="F23" s="10" t="s">
        <v>265</v>
      </c>
    </row>
    <row r="24" spans="1:6" s="14" customFormat="1" ht="15.75">
      <c r="A24" s="12" t="s">
        <v>262</v>
      </c>
      <c r="B24" s="14" t="s">
        <v>54</v>
      </c>
      <c r="C24" s="13">
        <v>8</v>
      </c>
      <c r="D24" s="14" t="s">
        <v>55</v>
      </c>
      <c r="E24" s="14" t="s">
        <v>204</v>
      </c>
      <c r="F24" s="10" t="s">
        <v>264</v>
      </c>
    </row>
    <row r="25" spans="1:6" s="6" customFormat="1" ht="15.75">
      <c r="A25" s="7" t="s">
        <v>194</v>
      </c>
      <c r="B25" s="6" t="s">
        <v>57</v>
      </c>
      <c r="C25" s="8">
        <v>128</v>
      </c>
      <c r="D25" s="6" t="s">
        <v>58</v>
      </c>
      <c r="E25" s="6" t="s">
        <v>199</v>
      </c>
      <c r="F25" s="10" t="s">
        <v>232</v>
      </c>
    </row>
    <row r="26" spans="1:6" s="6" customFormat="1" ht="15.75">
      <c r="A26" s="7" t="s">
        <v>195</v>
      </c>
      <c r="B26" s="6" t="s">
        <v>57</v>
      </c>
      <c r="C26" s="8">
        <v>128</v>
      </c>
      <c r="D26" s="6" t="s">
        <v>58</v>
      </c>
      <c r="E26" s="6" t="s">
        <v>199</v>
      </c>
      <c r="F26" s="10" t="s">
        <v>234</v>
      </c>
    </row>
    <row r="27" spans="1:6" s="6" customFormat="1" ht="15.75">
      <c r="A27" s="7" t="s">
        <v>196</v>
      </c>
      <c r="B27" s="6" t="s">
        <v>57</v>
      </c>
      <c r="C27" s="8">
        <v>128</v>
      </c>
      <c r="D27" s="6" t="s">
        <v>58</v>
      </c>
      <c r="E27" s="6" t="s">
        <v>199</v>
      </c>
      <c r="F27" s="10" t="s">
        <v>238</v>
      </c>
    </row>
    <row r="28" spans="1:6" s="6" customFormat="1" ht="15.75">
      <c r="A28" s="7" t="s">
        <v>197</v>
      </c>
      <c r="B28" s="6" t="s">
        <v>57</v>
      </c>
      <c r="C28" s="8">
        <v>128</v>
      </c>
      <c r="D28" s="6" t="s">
        <v>58</v>
      </c>
      <c r="E28" s="6" t="s">
        <v>199</v>
      </c>
      <c r="F28" s="10" t="s">
        <v>236</v>
      </c>
    </row>
    <row r="29" spans="1:6" s="6" customFormat="1" ht="15.75">
      <c r="A29" s="7" t="s">
        <v>66</v>
      </c>
      <c r="B29" s="6" t="s">
        <v>52</v>
      </c>
      <c r="C29" s="8">
        <v>4</v>
      </c>
      <c r="D29" s="6" t="s">
        <v>55</v>
      </c>
      <c r="E29" s="6" t="s">
        <v>199</v>
      </c>
      <c r="F29" s="10" t="s">
        <v>258</v>
      </c>
    </row>
    <row r="30" spans="1:6" s="6" customFormat="1" ht="15.75">
      <c r="A30" s="12" t="s">
        <v>68</v>
      </c>
      <c r="B30" s="6" t="s">
        <v>52</v>
      </c>
      <c r="C30" s="13">
        <v>4</v>
      </c>
      <c r="D30" s="6" t="s">
        <v>55</v>
      </c>
      <c r="E30" s="6" t="s">
        <v>199</v>
      </c>
      <c r="F30" s="10" t="s">
        <v>258</v>
      </c>
    </row>
    <row r="31" spans="1:6" s="6" customFormat="1" ht="15.75">
      <c r="A31" s="7" t="s">
        <v>69</v>
      </c>
      <c r="B31" s="6" t="s">
        <v>57</v>
      </c>
      <c r="C31" s="8">
        <v>128</v>
      </c>
      <c r="D31" s="6" t="s">
        <v>55</v>
      </c>
      <c r="E31" s="6" t="s">
        <v>200</v>
      </c>
      <c r="F31" s="10" t="s">
        <v>248</v>
      </c>
    </row>
    <row r="32" spans="1:6" s="14" customFormat="1" ht="15.75">
      <c r="A32" s="12" t="s">
        <v>773</v>
      </c>
      <c r="B32" s="14" t="s">
        <v>57</v>
      </c>
      <c r="C32" s="13">
        <v>128</v>
      </c>
      <c r="D32" s="14" t="s">
        <v>58</v>
      </c>
      <c r="E32" s="14" t="s">
        <v>199</v>
      </c>
      <c r="F32" s="10" t="s">
        <v>242</v>
      </c>
    </row>
    <row r="33" spans="1:6" s="6" customFormat="1" ht="15.75">
      <c r="A33" s="7" t="s">
        <v>198</v>
      </c>
      <c r="B33" s="6" t="s">
        <v>57</v>
      </c>
      <c r="C33" s="8">
        <v>128</v>
      </c>
      <c r="D33" s="6" t="s">
        <v>58</v>
      </c>
      <c r="E33" s="6" t="s">
        <v>199</v>
      </c>
      <c r="F33" s="10" t="s">
        <v>236</v>
      </c>
    </row>
    <row r="34" spans="1:6" s="6" customFormat="1" ht="15.75">
      <c r="A34" s="7" t="s">
        <v>182</v>
      </c>
      <c r="B34" s="6" t="s">
        <v>52</v>
      </c>
      <c r="C34" s="8">
        <v>4</v>
      </c>
      <c r="D34" s="6" t="s">
        <v>55</v>
      </c>
      <c r="E34" s="6" t="s">
        <v>200</v>
      </c>
      <c r="F34" s="10" t="s">
        <v>246</v>
      </c>
    </row>
    <row r="35" spans="1:6" s="6" customFormat="1" ht="15.75">
      <c r="A35" s="7" t="s">
        <v>70</v>
      </c>
      <c r="B35" s="6" t="s">
        <v>54</v>
      </c>
      <c r="C35" s="8">
        <v>8</v>
      </c>
      <c r="D35" s="6" t="s">
        <v>55</v>
      </c>
      <c r="E35" s="6" t="s">
        <v>200</v>
      </c>
      <c r="F35" s="10" t="s">
        <v>249</v>
      </c>
    </row>
    <row r="36" spans="1:6" s="6" customFormat="1" ht="15.75">
      <c r="A36" s="7" t="s">
        <v>183</v>
      </c>
      <c r="B36" s="6" t="s">
        <v>57</v>
      </c>
      <c r="C36" s="8">
        <v>128</v>
      </c>
      <c r="D36" s="6" t="s">
        <v>55</v>
      </c>
      <c r="E36" s="6" t="s">
        <v>200</v>
      </c>
      <c r="F36" s="10" t="s">
        <v>250</v>
      </c>
    </row>
    <row r="37" spans="1:6" s="6" customFormat="1" ht="15.75">
      <c r="A37" s="7" t="s">
        <v>201</v>
      </c>
      <c r="B37" s="6" t="s">
        <v>52</v>
      </c>
      <c r="C37" s="8">
        <v>4</v>
      </c>
      <c r="D37" s="6" t="s">
        <v>55</v>
      </c>
      <c r="E37" s="6" t="s">
        <v>199</v>
      </c>
      <c r="F37" s="10" t="s">
        <v>259</v>
      </c>
    </row>
    <row r="38" spans="1:6" s="6" customFormat="1" ht="15.75">
      <c r="A38" s="7" t="s">
        <v>184</v>
      </c>
      <c r="B38" s="6" t="s">
        <v>57</v>
      </c>
      <c r="C38" s="8">
        <v>1</v>
      </c>
      <c r="D38" s="6" t="s">
        <v>58</v>
      </c>
      <c r="E38" s="6" t="s">
        <v>200</v>
      </c>
      <c r="F38" s="10" t="s">
        <v>250</v>
      </c>
    </row>
    <row r="39" spans="1:6" s="6" customFormat="1" ht="15.75">
      <c r="A39" s="7" t="s">
        <v>71</v>
      </c>
      <c r="B39" s="6" t="s">
        <v>57</v>
      </c>
      <c r="C39" s="8">
        <v>128</v>
      </c>
      <c r="D39" s="6" t="s">
        <v>55</v>
      </c>
      <c r="E39" s="6" t="s">
        <v>200</v>
      </c>
      <c r="F39" s="10" t="s">
        <v>251</v>
      </c>
    </row>
    <row r="40" spans="1:6" s="6" customFormat="1" ht="15.75">
      <c r="A40" s="7" t="s">
        <v>202</v>
      </c>
      <c r="B40" s="6" t="s">
        <v>52</v>
      </c>
      <c r="C40" s="8">
        <v>4</v>
      </c>
      <c r="D40" s="6" t="s">
        <v>55</v>
      </c>
      <c r="E40" s="6" t="s">
        <v>199</v>
      </c>
      <c r="F40" s="10" t="s">
        <v>260</v>
      </c>
    </row>
    <row r="41" spans="1:6" s="6" customFormat="1" ht="15.75">
      <c r="A41" s="7" t="s">
        <v>185</v>
      </c>
      <c r="B41" s="6" t="s">
        <v>57</v>
      </c>
      <c r="C41" s="8">
        <v>128</v>
      </c>
      <c r="D41" s="6" t="s">
        <v>55</v>
      </c>
      <c r="E41" s="6" t="s">
        <v>200</v>
      </c>
      <c r="F41" s="10" t="s">
        <v>251</v>
      </c>
    </row>
    <row r="42" spans="1:6" ht="15.75">
      <c r="A42" s="2" t="s">
        <v>72</v>
      </c>
      <c r="B42" t="s">
        <v>57</v>
      </c>
      <c r="C42" s="3">
        <v>128</v>
      </c>
      <c r="D42" t="s">
        <v>55</v>
      </c>
      <c r="E42" t="s">
        <v>199</v>
      </c>
      <c r="F42" s="10" t="s">
        <v>232</v>
      </c>
    </row>
    <row r="43" spans="1:6" ht="15.75">
      <c r="A43" s="2" t="s">
        <v>73</v>
      </c>
      <c r="B43" s="6" t="s">
        <v>54</v>
      </c>
      <c r="C43" s="8">
        <v>8</v>
      </c>
      <c r="D43" s="6" t="s">
        <v>55</v>
      </c>
      <c r="E43" t="s">
        <v>200</v>
      </c>
      <c r="F43" s="10" t="s">
        <v>252</v>
      </c>
    </row>
    <row r="44" spans="1:6" ht="15.75">
      <c r="A44" s="2" t="s">
        <v>203</v>
      </c>
      <c r="B44" s="6" t="s">
        <v>52</v>
      </c>
      <c r="C44" s="8">
        <v>4</v>
      </c>
      <c r="D44" s="6" t="s">
        <v>55</v>
      </c>
      <c r="E44" t="s">
        <v>199</v>
      </c>
      <c r="F44" s="10" t="s">
        <v>261</v>
      </c>
    </row>
    <row r="45" spans="1:6" ht="15.75">
      <c r="A45" s="2" t="s">
        <v>74</v>
      </c>
      <c r="B45" t="s">
        <v>57</v>
      </c>
      <c r="C45" s="3">
        <v>1</v>
      </c>
      <c r="D45" t="s">
        <v>55</v>
      </c>
      <c r="E45" t="s">
        <v>200</v>
      </c>
      <c r="F45" s="10" t="s">
        <v>248</v>
      </c>
    </row>
    <row r="46" spans="1:6" s="14" customFormat="1" ht="15.75">
      <c r="A46" s="12"/>
      <c r="C46" s="13"/>
      <c r="F46" s="10"/>
    </row>
    <row r="47" spans="1:6" s="6" customFormat="1" ht="15.75">
      <c r="A47" s="7"/>
      <c r="C47" s="8"/>
      <c r="F47" s="10"/>
    </row>
    <row r="48" spans="1:6" s="6" customFormat="1">
      <c r="A48" s="6" t="s">
        <v>13</v>
      </c>
      <c r="C48" s="6">
        <v>1</v>
      </c>
      <c r="D48" s="6" t="s">
        <v>13</v>
      </c>
      <c r="E48" s="6" t="s">
        <v>204</v>
      </c>
      <c r="F48" s="10"/>
    </row>
    <row r="49" spans="1:6" s="6" customFormat="1" ht="15.75">
      <c r="A49" s="7" t="s">
        <v>53</v>
      </c>
      <c r="B49" s="6" t="s">
        <v>54</v>
      </c>
      <c r="C49" s="8">
        <v>8</v>
      </c>
      <c r="D49" s="6" t="s">
        <v>55</v>
      </c>
      <c r="E49" s="6" t="s">
        <v>204</v>
      </c>
      <c r="F49" s="10">
        <v>4</v>
      </c>
    </row>
    <row r="50" spans="1:6" s="6" customFormat="1" ht="15.75">
      <c r="A50" s="7" t="s">
        <v>205</v>
      </c>
      <c r="B50" s="6" t="s">
        <v>57</v>
      </c>
      <c r="C50" s="8">
        <v>1</v>
      </c>
      <c r="D50" s="6" t="s">
        <v>58</v>
      </c>
      <c r="E50" s="6" t="s">
        <v>204</v>
      </c>
      <c r="F50" s="10">
        <v>2</v>
      </c>
    </row>
    <row r="51" spans="1:6" s="6" customFormat="1" ht="15.75">
      <c r="A51" s="7" t="s">
        <v>206</v>
      </c>
      <c r="B51" s="6" t="s">
        <v>57</v>
      </c>
      <c r="C51" s="8">
        <v>1</v>
      </c>
      <c r="D51" s="6" t="s">
        <v>58</v>
      </c>
      <c r="E51" s="6" t="s">
        <v>204</v>
      </c>
      <c r="F51" s="10">
        <v>14</v>
      </c>
    </row>
    <row r="52" spans="1:6" s="6" customFormat="1" ht="15.75">
      <c r="A52" s="7" t="s">
        <v>189</v>
      </c>
      <c r="B52" s="6" t="s">
        <v>54</v>
      </c>
      <c r="C52" s="8">
        <v>8</v>
      </c>
      <c r="D52" s="6" t="s">
        <v>55</v>
      </c>
      <c r="E52" s="6" t="s">
        <v>230</v>
      </c>
      <c r="F52" s="10" t="s">
        <v>233</v>
      </c>
    </row>
    <row r="53" spans="1:6" s="6" customFormat="1" ht="15.75">
      <c r="A53" s="7" t="s">
        <v>188</v>
      </c>
      <c r="B53" s="6" t="s">
        <v>57</v>
      </c>
      <c r="C53" s="8">
        <v>128</v>
      </c>
      <c r="D53" s="6" t="s">
        <v>55</v>
      </c>
      <c r="E53" s="6" t="s">
        <v>230</v>
      </c>
      <c r="F53" s="10" t="s">
        <v>255</v>
      </c>
    </row>
    <row r="54" spans="1:6" s="6" customFormat="1" ht="15.75">
      <c r="A54" s="7" t="s">
        <v>59</v>
      </c>
      <c r="B54" s="6" t="s">
        <v>57</v>
      </c>
      <c r="C54" s="8">
        <v>128</v>
      </c>
      <c r="D54" s="6" t="s">
        <v>58</v>
      </c>
      <c r="E54" s="6" t="s">
        <v>230</v>
      </c>
      <c r="F54" s="10" t="s">
        <v>234</v>
      </c>
    </row>
    <row r="55" spans="1:6" s="6" customFormat="1" ht="15.75">
      <c r="A55" s="7" t="s">
        <v>56</v>
      </c>
      <c r="B55" s="6" t="s">
        <v>57</v>
      </c>
      <c r="C55" s="8">
        <v>128</v>
      </c>
      <c r="D55" s="6" t="s">
        <v>58</v>
      </c>
      <c r="E55" s="6" t="s">
        <v>204</v>
      </c>
      <c r="F55" s="10">
        <v>27</v>
      </c>
    </row>
    <row r="56" spans="1:6" ht="15.75">
      <c r="A56" s="7" t="s">
        <v>177</v>
      </c>
      <c r="B56" s="6" t="s">
        <v>60</v>
      </c>
      <c r="C56" s="8">
        <v>1</v>
      </c>
      <c r="D56" s="6" t="s">
        <v>30</v>
      </c>
      <c r="E56" s="6" t="s">
        <v>204</v>
      </c>
      <c r="F56" s="10">
        <v>5</v>
      </c>
    </row>
    <row r="57" spans="1:6" s="6" customFormat="1" ht="15.75">
      <c r="A57" s="2" t="s">
        <v>176</v>
      </c>
      <c r="B57" t="s">
        <v>52</v>
      </c>
      <c r="C57" s="3">
        <v>4</v>
      </c>
      <c r="D57" t="s">
        <v>55</v>
      </c>
      <c r="E57" s="6" t="s">
        <v>204</v>
      </c>
      <c r="F57" s="10">
        <v>5</v>
      </c>
    </row>
    <row r="58" spans="1:6" s="6" customFormat="1" ht="15.75">
      <c r="A58" s="7" t="s">
        <v>207</v>
      </c>
      <c r="B58" s="6" t="s">
        <v>54</v>
      </c>
      <c r="C58" s="8">
        <v>8</v>
      </c>
      <c r="D58" s="6" t="s">
        <v>55</v>
      </c>
      <c r="E58" s="6" t="s">
        <v>204</v>
      </c>
      <c r="F58" s="10">
        <v>4</v>
      </c>
    </row>
    <row r="59" spans="1:6" s="6" customFormat="1" ht="15.75">
      <c r="A59" s="7" t="s">
        <v>208</v>
      </c>
      <c r="B59" s="6" t="s">
        <v>54</v>
      </c>
      <c r="C59" s="8">
        <v>8</v>
      </c>
      <c r="D59" s="6" t="s">
        <v>55</v>
      </c>
      <c r="E59" s="6" t="s">
        <v>204</v>
      </c>
      <c r="F59" s="10">
        <v>6</v>
      </c>
    </row>
    <row r="60" spans="1:6" s="6" customFormat="1" ht="15.75">
      <c r="A60" s="7" t="s">
        <v>209</v>
      </c>
      <c r="B60" s="6" t="s">
        <v>57</v>
      </c>
      <c r="C60" s="8">
        <v>1</v>
      </c>
      <c r="D60" s="6" t="s">
        <v>58</v>
      </c>
      <c r="E60" s="6" t="s">
        <v>204</v>
      </c>
      <c r="F60" s="10">
        <v>2</v>
      </c>
    </row>
    <row r="61" spans="1:6" s="6" customFormat="1" ht="15.75">
      <c r="A61" s="7" t="s">
        <v>210</v>
      </c>
      <c r="B61" s="6" t="s">
        <v>54</v>
      </c>
      <c r="C61" s="8">
        <v>8</v>
      </c>
      <c r="D61" s="6" t="s">
        <v>55</v>
      </c>
      <c r="E61" s="6" t="s">
        <v>204</v>
      </c>
      <c r="F61" s="10">
        <v>6</v>
      </c>
    </row>
    <row r="62" spans="1:6" s="6" customFormat="1" ht="15.75">
      <c r="A62" s="7" t="s">
        <v>61</v>
      </c>
      <c r="B62" s="6" t="s">
        <v>57</v>
      </c>
      <c r="C62" s="8">
        <v>128</v>
      </c>
      <c r="D62" s="6" t="s">
        <v>62</v>
      </c>
      <c r="E62" s="6" t="s">
        <v>204</v>
      </c>
      <c r="F62" s="10">
        <v>14</v>
      </c>
    </row>
    <row r="63" spans="1:6" s="6" customFormat="1" ht="15.75">
      <c r="A63" s="7" t="s">
        <v>180</v>
      </c>
      <c r="B63" s="6" t="s">
        <v>57</v>
      </c>
      <c r="C63" s="8">
        <v>128</v>
      </c>
      <c r="D63" s="6" t="s">
        <v>55</v>
      </c>
      <c r="E63" s="6" t="s">
        <v>204</v>
      </c>
      <c r="F63" s="10">
        <v>27</v>
      </c>
    </row>
    <row r="64" spans="1:6" s="6" customFormat="1" ht="15.75">
      <c r="A64" s="7" t="s">
        <v>225</v>
      </c>
      <c r="B64" s="6" t="s">
        <v>54</v>
      </c>
      <c r="C64" s="8">
        <v>8</v>
      </c>
      <c r="D64" s="6" t="s">
        <v>55</v>
      </c>
      <c r="E64" s="6" t="s">
        <v>230</v>
      </c>
      <c r="F64" s="10" t="s">
        <v>239</v>
      </c>
    </row>
    <row r="65" spans="1:6" s="6" customFormat="1" ht="15.75">
      <c r="A65" s="7" t="s">
        <v>216</v>
      </c>
      <c r="B65" s="6" t="s">
        <v>57</v>
      </c>
      <c r="C65" s="8">
        <v>128</v>
      </c>
      <c r="D65" s="6" t="s">
        <v>55</v>
      </c>
      <c r="E65" s="6" t="s">
        <v>230</v>
      </c>
      <c r="F65" s="10" t="s">
        <v>235</v>
      </c>
    </row>
    <row r="66" spans="1:6" s="6" customFormat="1" ht="15.75">
      <c r="A66" s="7" t="s">
        <v>63</v>
      </c>
      <c r="B66" s="6" t="s">
        <v>57</v>
      </c>
      <c r="C66" s="8">
        <v>1</v>
      </c>
      <c r="D66" s="6" t="s">
        <v>58</v>
      </c>
      <c r="E66" s="6" t="s">
        <v>230</v>
      </c>
      <c r="F66" s="10" t="s">
        <v>236</v>
      </c>
    </row>
    <row r="67" spans="1:6" s="6" customFormat="1" ht="15.75">
      <c r="A67" s="7" t="s">
        <v>211</v>
      </c>
      <c r="B67" s="6" t="s">
        <v>57</v>
      </c>
      <c r="C67" s="8">
        <v>128</v>
      </c>
      <c r="D67" s="6" t="s">
        <v>55</v>
      </c>
      <c r="E67" s="6" t="s">
        <v>204</v>
      </c>
      <c r="F67" s="10">
        <v>4</v>
      </c>
    </row>
    <row r="68" spans="1:6" s="6" customFormat="1" ht="15.75">
      <c r="A68" s="7" t="s">
        <v>217</v>
      </c>
      <c r="B68" s="6" t="s">
        <v>57</v>
      </c>
      <c r="C68" s="8">
        <v>128</v>
      </c>
      <c r="D68" s="6" t="s">
        <v>55</v>
      </c>
      <c r="E68" s="6" t="s">
        <v>230</v>
      </c>
      <c r="F68" s="10" t="s">
        <v>237</v>
      </c>
    </row>
    <row r="69" spans="1:6" s="6" customFormat="1" ht="15.75">
      <c r="A69" s="7" t="s">
        <v>263</v>
      </c>
      <c r="B69" s="6" t="s">
        <v>54</v>
      </c>
      <c r="C69" s="8">
        <v>8</v>
      </c>
      <c r="D69" s="6" t="s">
        <v>55</v>
      </c>
      <c r="E69" s="6" t="s">
        <v>230</v>
      </c>
      <c r="F69" s="10" t="s">
        <v>265</v>
      </c>
    </row>
    <row r="70" spans="1:6" s="6" customFormat="1" ht="15.75">
      <c r="A70" s="7" t="s">
        <v>262</v>
      </c>
      <c r="B70" s="6" t="s">
        <v>54</v>
      </c>
      <c r="C70" s="8">
        <v>8</v>
      </c>
      <c r="D70" s="6" t="s">
        <v>55</v>
      </c>
      <c r="E70" s="6" t="s">
        <v>204</v>
      </c>
      <c r="F70" s="10" t="s">
        <v>264</v>
      </c>
    </row>
    <row r="71" spans="1:6" s="6" customFormat="1" ht="15.75">
      <c r="A71" s="7" t="s">
        <v>226</v>
      </c>
      <c r="B71" s="6" t="s">
        <v>52</v>
      </c>
      <c r="C71" s="8">
        <v>4</v>
      </c>
      <c r="D71" s="6" t="s">
        <v>55</v>
      </c>
      <c r="E71" s="6" t="s">
        <v>230</v>
      </c>
      <c r="F71" s="10" t="s">
        <v>240</v>
      </c>
    </row>
    <row r="72" spans="1:6" s="6" customFormat="1" ht="15.75">
      <c r="A72" s="7" t="s">
        <v>231</v>
      </c>
      <c r="B72" s="6" t="s">
        <v>57</v>
      </c>
      <c r="C72" s="8">
        <v>128</v>
      </c>
      <c r="D72" s="6" t="s">
        <v>55</v>
      </c>
      <c r="E72" s="6" t="s">
        <v>204</v>
      </c>
      <c r="F72" s="10">
        <v>9</v>
      </c>
    </row>
    <row r="73" spans="1:6" s="6" customFormat="1" ht="15.75">
      <c r="A73" s="7" t="s">
        <v>65</v>
      </c>
      <c r="B73" s="6" t="s">
        <v>54</v>
      </c>
      <c r="C73" s="8">
        <v>8</v>
      </c>
      <c r="D73" s="6" t="s">
        <v>55</v>
      </c>
      <c r="E73" s="6" t="s">
        <v>230</v>
      </c>
      <c r="F73" s="10" t="s">
        <v>241</v>
      </c>
    </row>
    <row r="74" spans="1:6" s="6" customFormat="1" ht="15.75">
      <c r="A74" s="7" t="s">
        <v>196</v>
      </c>
      <c r="B74" s="6" t="s">
        <v>57</v>
      </c>
      <c r="C74" s="8">
        <v>128</v>
      </c>
      <c r="D74" s="6" t="s">
        <v>55</v>
      </c>
      <c r="E74" s="6" t="s">
        <v>230</v>
      </c>
      <c r="F74" s="10" t="s">
        <v>238</v>
      </c>
    </row>
    <row r="75" spans="1:6" s="14" customFormat="1" ht="15.75">
      <c r="A75" s="12" t="s">
        <v>663</v>
      </c>
      <c r="B75" s="14" t="s">
        <v>57</v>
      </c>
      <c r="C75" s="13">
        <v>128</v>
      </c>
      <c r="D75" s="14" t="s">
        <v>55</v>
      </c>
      <c r="E75" s="14" t="s">
        <v>230</v>
      </c>
      <c r="F75" s="10" t="s">
        <v>235</v>
      </c>
    </row>
    <row r="76" spans="1:6" ht="15.75">
      <c r="A76" s="7" t="s">
        <v>212</v>
      </c>
      <c r="B76" s="6" t="s">
        <v>57</v>
      </c>
      <c r="C76" s="8">
        <v>1</v>
      </c>
      <c r="D76" s="6" t="s">
        <v>58</v>
      </c>
      <c r="E76" s="6" t="s">
        <v>204</v>
      </c>
      <c r="F76" s="10">
        <v>27</v>
      </c>
    </row>
    <row r="77" spans="1:6" ht="15.75">
      <c r="A77" s="2" t="s">
        <v>67</v>
      </c>
      <c r="B77" s="6" t="s">
        <v>57</v>
      </c>
      <c r="C77" s="8">
        <v>128</v>
      </c>
      <c r="D77" s="6" t="s">
        <v>55</v>
      </c>
      <c r="E77" s="6" t="s">
        <v>204</v>
      </c>
      <c r="F77" s="10">
        <v>10</v>
      </c>
    </row>
    <row r="78" spans="1:6" ht="15.75">
      <c r="A78" s="2" t="s">
        <v>213</v>
      </c>
      <c r="B78" s="6" t="s">
        <v>57</v>
      </c>
      <c r="C78" s="8">
        <v>16</v>
      </c>
      <c r="D78" s="6" t="s">
        <v>30</v>
      </c>
      <c r="E78" t="s">
        <v>204</v>
      </c>
      <c r="F78" s="10">
        <v>2</v>
      </c>
    </row>
    <row r="79" spans="1:6" ht="15.75">
      <c r="A79" s="2" t="s">
        <v>218</v>
      </c>
      <c r="B79" s="6" t="s">
        <v>57</v>
      </c>
      <c r="C79" s="8">
        <v>128</v>
      </c>
      <c r="D79" s="6" t="s">
        <v>55</v>
      </c>
      <c r="E79" t="s">
        <v>230</v>
      </c>
      <c r="F79" s="10" t="s">
        <v>236</v>
      </c>
    </row>
    <row r="80" spans="1:6" ht="15.75">
      <c r="A80" s="2" t="s">
        <v>219</v>
      </c>
      <c r="B80" s="6" t="s">
        <v>57</v>
      </c>
      <c r="C80" s="8">
        <v>128</v>
      </c>
      <c r="D80" s="6" t="s">
        <v>55</v>
      </c>
      <c r="E80" t="s">
        <v>230</v>
      </c>
      <c r="F80" s="10" t="s">
        <v>242</v>
      </c>
    </row>
    <row r="81" spans="1:6" ht="15.75">
      <c r="A81" s="2" t="s">
        <v>214</v>
      </c>
      <c r="B81" s="6" t="s">
        <v>57</v>
      </c>
      <c r="C81" s="8">
        <v>128</v>
      </c>
      <c r="D81" s="6" t="s">
        <v>55</v>
      </c>
      <c r="E81" t="s">
        <v>204</v>
      </c>
      <c r="F81" s="10">
        <v>14</v>
      </c>
    </row>
    <row r="82" spans="1:6" ht="15.75">
      <c r="A82" s="2" t="s">
        <v>220</v>
      </c>
      <c r="B82" s="6" t="s">
        <v>57</v>
      </c>
      <c r="C82" s="8">
        <v>128</v>
      </c>
      <c r="D82" s="6" t="s">
        <v>55</v>
      </c>
      <c r="E82" t="s">
        <v>230</v>
      </c>
      <c r="F82" s="10" t="s">
        <v>236</v>
      </c>
    </row>
    <row r="83" spans="1:6" ht="15.75">
      <c r="A83" s="2" t="s">
        <v>227</v>
      </c>
      <c r="B83" s="6" t="s">
        <v>54</v>
      </c>
      <c r="C83" s="8">
        <v>8</v>
      </c>
      <c r="D83" s="6" t="s">
        <v>55</v>
      </c>
      <c r="E83" t="s">
        <v>230</v>
      </c>
      <c r="F83" s="10" t="s">
        <v>243</v>
      </c>
    </row>
    <row r="84" spans="1:6" ht="15.75">
      <c r="A84" s="2" t="s">
        <v>221</v>
      </c>
      <c r="B84" s="6" t="s">
        <v>57</v>
      </c>
      <c r="C84" s="8">
        <v>128</v>
      </c>
      <c r="D84" s="6" t="s">
        <v>55</v>
      </c>
      <c r="E84" s="6" t="s">
        <v>230</v>
      </c>
      <c r="F84" s="10" t="s">
        <v>244</v>
      </c>
    </row>
    <row r="85" spans="1:6" ht="15.75">
      <c r="A85" s="2" t="s">
        <v>222</v>
      </c>
      <c r="B85" s="6" t="s">
        <v>57</v>
      </c>
      <c r="C85" s="8">
        <v>1</v>
      </c>
      <c r="D85" s="6" t="s">
        <v>58</v>
      </c>
      <c r="E85" s="6" t="s">
        <v>230</v>
      </c>
      <c r="F85" s="10" t="s">
        <v>245</v>
      </c>
    </row>
    <row r="86" spans="1:6" ht="15.75">
      <c r="A86" s="2" t="s">
        <v>223</v>
      </c>
      <c r="B86" s="6" t="s">
        <v>57</v>
      </c>
      <c r="C86" s="8">
        <v>128</v>
      </c>
      <c r="D86" s="6" t="s">
        <v>55</v>
      </c>
      <c r="E86" t="s">
        <v>230</v>
      </c>
      <c r="F86" s="10" t="s">
        <v>242</v>
      </c>
    </row>
    <row r="87" spans="1:6" ht="15.75">
      <c r="A87" s="2" t="s">
        <v>215</v>
      </c>
      <c r="B87" s="6" t="s">
        <v>57</v>
      </c>
      <c r="C87" s="8">
        <v>128</v>
      </c>
      <c r="D87" s="6" t="s">
        <v>55</v>
      </c>
      <c r="E87" t="s">
        <v>204</v>
      </c>
      <c r="F87" s="10">
        <v>4</v>
      </c>
    </row>
    <row r="88" spans="1:6" s="6" customFormat="1" ht="15.75">
      <c r="A88" s="2" t="s">
        <v>224</v>
      </c>
      <c r="B88" s="6" t="s">
        <v>57</v>
      </c>
      <c r="C88" s="8">
        <v>128</v>
      </c>
      <c r="D88" s="6" t="s">
        <v>55</v>
      </c>
      <c r="E88" s="6" t="s">
        <v>230</v>
      </c>
      <c r="F88" s="10" t="s">
        <v>238</v>
      </c>
    </row>
    <row r="89" spans="1:6" s="5" customFormat="1" ht="15.75">
      <c r="A89" s="7"/>
      <c r="B89" s="6"/>
      <c r="C89" s="8"/>
      <c r="D89" s="6"/>
      <c r="E89" s="6"/>
      <c r="F89" s="10"/>
    </row>
    <row r="90" spans="1:6" s="5" customFormat="1" ht="21">
      <c r="A90" s="945" t="s">
        <v>159</v>
      </c>
      <c r="B90" s="945"/>
      <c r="C90" s="945"/>
      <c r="D90" s="945"/>
      <c r="F90" s="10"/>
    </row>
    <row r="91" spans="1:6">
      <c r="A91" s="5" t="s">
        <v>13</v>
      </c>
      <c r="B91" s="5"/>
      <c r="C91" s="5">
        <v>1</v>
      </c>
      <c r="D91" s="5" t="s">
        <v>13</v>
      </c>
      <c r="E91" s="5"/>
    </row>
    <row r="92" spans="1:6" s="5" customFormat="1" ht="15.75">
      <c r="A92" s="2" t="s">
        <v>75</v>
      </c>
      <c r="B92" t="s">
        <v>60</v>
      </c>
      <c r="C92" s="3">
        <v>1</v>
      </c>
      <c r="D92" t="s">
        <v>30</v>
      </c>
      <c r="E92"/>
      <c r="F92" s="10"/>
    </row>
    <row r="93" spans="1:6" ht="15.75">
      <c r="A93" s="7" t="s">
        <v>160</v>
      </c>
      <c r="B93" s="11" t="s">
        <v>54</v>
      </c>
      <c r="C93" s="13">
        <v>8</v>
      </c>
      <c r="D93" s="6" t="s">
        <v>55</v>
      </c>
      <c r="E93" s="5"/>
    </row>
    <row r="94" spans="1:6" ht="15.75">
      <c r="A94" s="2" t="s">
        <v>161</v>
      </c>
      <c r="B94" t="s">
        <v>54</v>
      </c>
      <c r="C94" s="3">
        <v>8</v>
      </c>
      <c r="D94" t="s">
        <v>55</v>
      </c>
    </row>
    <row r="95" spans="1:6" ht="15.75">
      <c r="A95" s="2" t="s">
        <v>163</v>
      </c>
      <c r="B95" t="s">
        <v>54</v>
      </c>
      <c r="C95" s="3">
        <v>8</v>
      </c>
      <c r="D95" t="s">
        <v>55</v>
      </c>
    </row>
    <row r="96" spans="1:6" ht="15.75">
      <c r="A96" s="2" t="s">
        <v>164</v>
      </c>
      <c r="B96" t="s">
        <v>57</v>
      </c>
      <c r="C96" s="3">
        <v>128</v>
      </c>
      <c r="D96" t="s">
        <v>55</v>
      </c>
    </row>
    <row r="97" spans="1:6" s="6" customFormat="1" ht="15.75">
      <c r="A97" s="2" t="s">
        <v>162</v>
      </c>
      <c r="B97" t="s">
        <v>52</v>
      </c>
      <c r="C97" s="3">
        <v>4</v>
      </c>
      <c r="D97" t="s">
        <v>55</v>
      </c>
      <c r="E97"/>
      <c r="F97" s="10"/>
    </row>
    <row r="98" spans="1:6" ht="15.75">
      <c r="A98" s="7"/>
      <c r="B98" s="6"/>
      <c r="C98" s="8"/>
      <c r="D98" s="6"/>
      <c r="E98" s="6"/>
    </row>
    <row r="99" spans="1:6" s="6" customFormat="1">
      <c r="A99"/>
      <c r="B99"/>
      <c r="C99"/>
      <c r="D99"/>
      <c r="E99"/>
      <c r="F99" s="10"/>
    </row>
    <row r="100" spans="1:6" ht="21">
      <c r="A100" s="945" t="s">
        <v>460</v>
      </c>
      <c r="B100" s="945"/>
      <c r="C100" s="945"/>
      <c r="D100" s="945"/>
      <c r="E100" s="6"/>
    </row>
    <row r="101" spans="1:6" ht="15.75">
      <c r="A101" s="2" t="s">
        <v>13</v>
      </c>
      <c r="C101" s="3">
        <v>1</v>
      </c>
      <c r="D101" t="s">
        <v>13</v>
      </c>
    </row>
    <row r="102" spans="1:6">
      <c r="A102" t="s">
        <v>471</v>
      </c>
      <c r="B102" t="s">
        <v>57</v>
      </c>
      <c r="C102" s="3">
        <v>128</v>
      </c>
      <c r="D102" t="s">
        <v>25</v>
      </c>
      <c r="E102" s="1"/>
    </row>
    <row r="103" spans="1:6">
      <c r="A103" t="s">
        <v>463</v>
      </c>
      <c r="B103" t="s">
        <v>57</v>
      </c>
      <c r="C103" s="3">
        <v>128</v>
      </c>
      <c r="D103" t="s">
        <v>25</v>
      </c>
      <c r="E103" s="1"/>
    </row>
    <row r="104" spans="1:6">
      <c r="A104" t="s">
        <v>466</v>
      </c>
      <c r="B104" t="s">
        <v>57</v>
      </c>
      <c r="C104" s="3">
        <v>128</v>
      </c>
      <c r="D104" t="s">
        <v>25</v>
      </c>
      <c r="E104" s="1"/>
    </row>
    <row r="105" spans="1:6">
      <c r="A105" t="s">
        <v>464</v>
      </c>
      <c r="B105" t="s">
        <v>57</v>
      </c>
      <c r="C105" s="3">
        <v>128</v>
      </c>
      <c r="D105" t="s">
        <v>25</v>
      </c>
      <c r="E105" s="1"/>
    </row>
    <row r="106" spans="1:6">
      <c r="A106" t="s">
        <v>447</v>
      </c>
      <c r="B106" t="s">
        <v>57</v>
      </c>
      <c r="C106" s="3">
        <v>128</v>
      </c>
      <c r="D106" t="s">
        <v>25</v>
      </c>
      <c r="E106" s="1"/>
    </row>
    <row r="107" spans="1:6">
      <c r="A107" t="s">
        <v>467</v>
      </c>
      <c r="B107" t="s">
        <v>57</v>
      </c>
      <c r="C107" s="3">
        <v>128</v>
      </c>
      <c r="D107" t="s">
        <v>25</v>
      </c>
      <c r="E107" s="1"/>
    </row>
    <row r="108" spans="1:6">
      <c r="A108" t="s">
        <v>462</v>
      </c>
      <c r="B108" t="s">
        <v>57</v>
      </c>
      <c r="C108" s="3">
        <v>128</v>
      </c>
      <c r="D108" t="s">
        <v>25</v>
      </c>
      <c r="E108" s="1"/>
    </row>
    <row r="109" spans="1:6" s="14" customFormat="1">
      <c r="A109" s="14" t="s">
        <v>469</v>
      </c>
      <c r="B109" s="14" t="s">
        <v>57</v>
      </c>
      <c r="C109" s="13">
        <v>128</v>
      </c>
      <c r="D109" s="14" t="s">
        <v>25</v>
      </c>
      <c r="E109" s="1"/>
      <c r="F109" s="10"/>
    </row>
    <row r="110" spans="1:6" s="14" customFormat="1">
      <c r="A110" s="14" t="s">
        <v>468</v>
      </c>
      <c r="B110" s="14" t="s">
        <v>57</v>
      </c>
      <c r="C110" s="13">
        <v>128</v>
      </c>
      <c r="D110" s="14" t="s">
        <v>25</v>
      </c>
      <c r="E110" s="1"/>
      <c r="F110" s="10"/>
    </row>
    <row r="111" spans="1:6" s="14" customFormat="1">
      <c r="A111" s="14" t="s">
        <v>448</v>
      </c>
      <c r="B111" s="14" t="s">
        <v>57</v>
      </c>
      <c r="C111" s="13">
        <v>128</v>
      </c>
      <c r="D111" s="14" t="s">
        <v>25</v>
      </c>
      <c r="E111" s="1"/>
      <c r="F111" s="10"/>
    </row>
    <row r="112" spans="1:6" s="14" customFormat="1">
      <c r="A112" s="14" t="s">
        <v>461</v>
      </c>
      <c r="B112" s="14" t="s">
        <v>57</v>
      </c>
      <c r="C112" s="13">
        <v>128</v>
      </c>
      <c r="D112" s="14" t="s">
        <v>25</v>
      </c>
      <c r="E112" s="1"/>
      <c r="F112" s="10"/>
    </row>
    <row r="113" spans="1:6" s="14" customFormat="1">
      <c r="A113" s="14" t="s">
        <v>456</v>
      </c>
      <c r="B113" s="14" t="s">
        <v>57</v>
      </c>
      <c r="C113" s="13">
        <v>128</v>
      </c>
      <c r="D113" s="14" t="s">
        <v>25</v>
      </c>
      <c r="E113" s="1"/>
      <c r="F113" s="10"/>
    </row>
    <row r="114" spans="1:6" s="14" customFormat="1">
      <c r="A114" s="14" t="s">
        <v>470</v>
      </c>
      <c r="B114" s="14" t="s">
        <v>57</v>
      </c>
      <c r="C114" s="13">
        <v>128</v>
      </c>
      <c r="D114" s="14" t="s">
        <v>25</v>
      </c>
      <c r="E114" s="1"/>
      <c r="F114" s="10"/>
    </row>
    <row r="115" spans="1:6" s="14" customFormat="1">
      <c r="A115" s="14" t="s">
        <v>450</v>
      </c>
      <c r="B115" s="14" t="s">
        <v>57</v>
      </c>
      <c r="C115" s="13">
        <v>128</v>
      </c>
      <c r="D115" s="14" t="s">
        <v>25</v>
      </c>
      <c r="E115" s="1"/>
      <c r="F115" s="10"/>
    </row>
    <row r="116" spans="1:6" s="14" customFormat="1">
      <c r="A116" s="14" t="s">
        <v>465</v>
      </c>
      <c r="B116" s="14" t="s">
        <v>57</v>
      </c>
      <c r="C116" s="13">
        <v>128</v>
      </c>
      <c r="D116" s="14" t="s">
        <v>25</v>
      </c>
      <c r="E116" s="1"/>
      <c r="F116" s="10"/>
    </row>
    <row r="119" spans="1:6">
      <c r="E119" s="1"/>
    </row>
    <row r="120" spans="1:6">
      <c r="E120" s="1"/>
    </row>
    <row r="121" spans="1:6">
      <c r="E121" s="1"/>
    </row>
    <row r="122" spans="1:6">
      <c r="E122" s="1"/>
    </row>
    <row r="123" spans="1:6" ht="21">
      <c r="A123" s="945" t="s">
        <v>170</v>
      </c>
      <c r="B123" s="945"/>
      <c r="C123" s="945"/>
      <c r="D123" s="945"/>
      <c r="E123" s="1"/>
    </row>
    <row r="124" spans="1:6" ht="15.75">
      <c r="A124" s="7" t="s">
        <v>13</v>
      </c>
      <c r="B124" s="6"/>
      <c r="C124" s="8">
        <v>1</v>
      </c>
      <c r="D124" s="6" t="s">
        <v>13</v>
      </c>
      <c r="E124" s="1"/>
    </row>
    <row r="125" spans="1:6">
      <c r="A125" t="s">
        <v>171</v>
      </c>
      <c r="B125" s="6" t="s">
        <v>54</v>
      </c>
      <c r="C125" s="8">
        <v>8</v>
      </c>
      <c r="D125" s="6" t="s">
        <v>55</v>
      </c>
      <c r="E125" s="1"/>
    </row>
    <row r="126" spans="1:6">
      <c r="A126" t="s">
        <v>172</v>
      </c>
      <c r="B126" s="6" t="s">
        <v>57</v>
      </c>
      <c r="C126" s="8">
        <v>1</v>
      </c>
      <c r="D126" s="6" t="s">
        <v>55</v>
      </c>
    </row>
    <row r="127" spans="1:6">
      <c r="A127" t="s">
        <v>173</v>
      </c>
      <c r="B127" s="6" t="s">
        <v>60</v>
      </c>
      <c r="C127" s="8">
        <v>1</v>
      </c>
      <c r="D127" s="6" t="s">
        <v>30</v>
      </c>
    </row>
    <row r="128" spans="1:6">
      <c r="A128" t="s">
        <v>174</v>
      </c>
      <c r="B128" s="6" t="s">
        <v>52</v>
      </c>
      <c r="C128" s="8">
        <v>4</v>
      </c>
      <c r="D128" s="6" t="s">
        <v>55</v>
      </c>
    </row>
    <row r="130" spans="1:6" s="14" customFormat="1">
      <c r="F130" s="10"/>
    </row>
    <row r="131" spans="1:6" ht="15.75">
      <c r="A131" s="12" t="s">
        <v>13</v>
      </c>
      <c r="B131" s="14"/>
      <c r="C131" s="13">
        <v>1</v>
      </c>
      <c r="D131" s="14" t="s">
        <v>13</v>
      </c>
    </row>
    <row r="132" spans="1:6">
      <c r="A132" s="14" t="s">
        <v>496</v>
      </c>
      <c r="B132" s="14" t="s">
        <v>57</v>
      </c>
      <c r="C132" s="13">
        <v>1</v>
      </c>
      <c r="D132" s="14" t="s">
        <v>55</v>
      </c>
    </row>
    <row r="133" spans="1:6">
      <c r="A133" s="14" t="s">
        <v>497</v>
      </c>
      <c r="B133" s="14" t="s">
        <v>57</v>
      </c>
      <c r="C133" s="13">
        <v>1</v>
      </c>
      <c r="D133" s="14" t="s">
        <v>55</v>
      </c>
    </row>
    <row r="134" spans="1:6">
      <c r="A134" s="14" t="s">
        <v>498</v>
      </c>
      <c r="B134" s="14" t="s">
        <v>57</v>
      </c>
      <c r="C134" s="13">
        <v>1</v>
      </c>
      <c r="D134" s="14" t="s">
        <v>55</v>
      </c>
    </row>
    <row r="135" spans="1:6">
      <c r="A135" s="14" t="s">
        <v>538</v>
      </c>
      <c r="B135" t="s">
        <v>57</v>
      </c>
      <c r="C135" s="13">
        <v>1</v>
      </c>
      <c r="D135" s="14" t="s">
        <v>55</v>
      </c>
    </row>
    <row r="136" spans="1:6" s="14" customFormat="1">
      <c r="A136" s="14" t="s">
        <v>539</v>
      </c>
      <c r="B136" s="14" t="s">
        <v>57</v>
      </c>
      <c r="C136" s="13">
        <v>1</v>
      </c>
      <c r="D136" s="14" t="s">
        <v>55</v>
      </c>
      <c r="F136" s="10"/>
    </row>
    <row r="137" spans="1:6">
      <c r="A137" s="14" t="s">
        <v>540</v>
      </c>
      <c r="B137" t="s">
        <v>57</v>
      </c>
      <c r="C137" s="13">
        <v>1</v>
      </c>
      <c r="D137" s="14" t="s">
        <v>55</v>
      </c>
    </row>
    <row r="138" spans="1:6">
      <c r="A138" s="14" t="s">
        <v>501</v>
      </c>
      <c r="B138" t="s">
        <v>57</v>
      </c>
      <c r="C138" s="13">
        <v>1</v>
      </c>
      <c r="D138" s="14" t="s">
        <v>55</v>
      </c>
    </row>
    <row r="139" spans="1:6">
      <c r="A139" s="14" t="s">
        <v>502</v>
      </c>
      <c r="B139" t="s">
        <v>57</v>
      </c>
      <c r="C139" s="13">
        <v>1</v>
      </c>
      <c r="D139" s="14" t="s">
        <v>55</v>
      </c>
    </row>
    <row r="140" spans="1:6">
      <c r="A140" s="14" t="s">
        <v>541</v>
      </c>
      <c r="B140" t="s">
        <v>57</v>
      </c>
      <c r="C140" s="13">
        <v>1</v>
      </c>
      <c r="D140" s="14" t="s">
        <v>55</v>
      </c>
    </row>
    <row r="141" spans="1:6">
      <c r="A141" s="14" t="s">
        <v>503</v>
      </c>
      <c r="B141" t="s">
        <v>57</v>
      </c>
      <c r="C141" s="13">
        <v>1</v>
      </c>
      <c r="D141" s="14" t="s">
        <v>55</v>
      </c>
    </row>
    <row r="142" spans="1:6">
      <c r="A142" s="14" t="s">
        <v>542</v>
      </c>
      <c r="B142" t="s">
        <v>57</v>
      </c>
      <c r="C142" s="13">
        <v>1</v>
      </c>
      <c r="D142" s="14" t="s">
        <v>55</v>
      </c>
    </row>
    <row r="143" spans="1:6">
      <c r="A143" s="14" t="s">
        <v>506</v>
      </c>
      <c r="B143" t="s">
        <v>57</v>
      </c>
      <c r="C143" s="13">
        <v>1</v>
      </c>
      <c r="D143" s="14" t="s">
        <v>55</v>
      </c>
    </row>
    <row r="144" spans="1:6">
      <c r="A144" s="14" t="s">
        <v>543</v>
      </c>
      <c r="B144" t="s">
        <v>54</v>
      </c>
      <c r="C144" s="13">
        <v>8</v>
      </c>
      <c r="D144" s="14" t="s">
        <v>55</v>
      </c>
    </row>
    <row r="145" spans="1:6">
      <c r="A145" s="14" t="s">
        <v>544</v>
      </c>
      <c r="B145" t="s">
        <v>57</v>
      </c>
      <c r="C145" s="13">
        <v>1</v>
      </c>
      <c r="D145" s="14" t="s">
        <v>55</v>
      </c>
    </row>
    <row r="146" spans="1:6">
      <c r="A146" s="14" t="s">
        <v>545</v>
      </c>
      <c r="B146" t="s">
        <v>57</v>
      </c>
      <c r="C146" s="13">
        <v>1</v>
      </c>
      <c r="D146" s="14" t="s">
        <v>55</v>
      </c>
    </row>
    <row r="147" spans="1:6">
      <c r="A147" s="14" t="s">
        <v>546</v>
      </c>
      <c r="B147" t="s">
        <v>60</v>
      </c>
      <c r="C147" s="13">
        <v>50</v>
      </c>
      <c r="D147" s="14" t="s">
        <v>30</v>
      </c>
    </row>
    <row r="148" spans="1:6">
      <c r="A148" s="14" t="s">
        <v>507</v>
      </c>
      <c r="B148" t="s">
        <v>54</v>
      </c>
      <c r="C148" s="13">
        <v>8</v>
      </c>
      <c r="D148" s="14" t="s">
        <v>55</v>
      </c>
    </row>
    <row r="149" spans="1:6">
      <c r="A149" s="14" t="s">
        <v>534</v>
      </c>
      <c r="B149" t="s">
        <v>60</v>
      </c>
      <c r="C149" s="13">
        <v>5</v>
      </c>
      <c r="D149" s="14" t="s">
        <v>30</v>
      </c>
    </row>
    <row r="150" spans="1:6" s="14" customFormat="1">
      <c r="A150" s="14" t="s">
        <v>535</v>
      </c>
      <c r="B150" s="14" t="s">
        <v>54</v>
      </c>
      <c r="C150" s="13">
        <v>8</v>
      </c>
      <c r="D150" s="14" t="s">
        <v>55</v>
      </c>
      <c r="F150" s="10"/>
    </row>
    <row r="151" spans="1:6">
      <c r="A151" s="14" t="s">
        <v>547</v>
      </c>
      <c r="B151" t="s">
        <v>57</v>
      </c>
      <c r="C151" s="13">
        <v>1</v>
      </c>
      <c r="D151" s="14" t="s">
        <v>55</v>
      </c>
    </row>
    <row r="152" spans="1:6">
      <c r="A152" s="14" t="s">
        <v>548</v>
      </c>
      <c r="B152" t="s">
        <v>60</v>
      </c>
      <c r="C152" s="13">
        <v>1</v>
      </c>
      <c r="D152" s="14" t="s">
        <v>30</v>
      </c>
    </row>
    <row r="153" spans="1:6">
      <c r="A153" s="14" t="s">
        <v>549</v>
      </c>
      <c r="B153" t="s">
        <v>57</v>
      </c>
      <c r="C153" s="13">
        <v>1</v>
      </c>
      <c r="D153" s="14" t="s">
        <v>55</v>
      </c>
    </row>
    <row r="154" spans="1:6">
      <c r="A154" s="14" t="s">
        <v>550</v>
      </c>
      <c r="B154" t="s">
        <v>57</v>
      </c>
      <c r="C154" s="13">
        <v>1</v>
      </c>
      <c r="D154" s="14" t="s">
        <v>55</v>
      </c>
    </row>
    <row r="155" spans="1:6">
      <c r="A155" s="14" t="s">
        <v>551</v>
      </c>
      <c r="B155" t="s">
        <v>57</v>
      </c>
      <c r="C155" s="13">
        <v>1</v>
      </c>
      <c r="D155" s="14" t="s">
        <v>55</v>
      </c>
    </row>
    <row r="156" spans="1:6">
      <c r="A156" s="14" t="s">
        <v>510</v>
      </c>
      <c r="B156" t="s">
        <v>57</v>
      </c>
      <c r="C156" s="13">
        <v>1</v>
      </c>
      <c r="D156" s="14" t="s">
        <v>55</v>
      </c>
    </row>
    <row r="157" spans="1:6">
      <c r="A157" s="14" t="s">
        <v>511</v>
      </c>
      <c r="B157" t="s">
        <v>57</v>
      </c>
      <c r="C157" s="13">
        <v>1</v>
      </c>
      <c r="D157" s="14" t="s">
        <v>55</v>
      </c>
    </row>
    <row r="158" spans="1:6" s="14" customFormat="1">
      <c r="A158" s="14" t="s">
        <v>552</v>
      </c>
      <c r="B158" s="14" t="s">
        <v>54</v>
      </c>
      <c r="C158" s="13">
        <v>8</v>
      </c>
      <c r="D158" s="14" t="s">
        <v>55</v>
      </c>
      <c r="F158" s="10"/>
    </row>
    <row r="159" spans="1:6">
      <c r="A159" s="14" t="s">
        <v>553</v>
      </c>
      <c r="B159" t="s">
        <v>57</v>
      </c>
      <c r="C159" s="13">
        <v>1</v>
      </c>
      <c r="D159" s="14" t="s">
        <v>55</v>
      </c>
    </row>
    <row r="160" spans="1:6">
      <c r="A160" s="14" t="s">
        <v>525</v>
      </c>
      <c r="B160" t="s">
        <v>54</v>
      </c>
      <c r="C160" s="13">
        <v>8</v>
      </c>
      <c r="D160" s="14" t="s">
        <v>55</v>
      </c>
    </row>
    <row r="161" spans="1:4">
      <c r="A161" s="14" t="s">
        <v>537</v>
      </c>
      <c r="B161" t="s">
        <v>54</v>
      </c>
      <c r="C161" s="13">
        <v>8</v>
      </c>
      <c r="D161" s="14" t="s">
        <v>55</v>
      </c>
    </row>
    <row r="162" spans="1:4">
      <c r="A162" s="14" t="s">
        <v>536</v>
      </c>
      <c r="B162" t="s">
        <v>57</v>
      </c>
      <c r="C162" s="13">
        <v>1</v>
      </c>
      <c r="D162" s="14" t="s">
        <v>55</v>
      </c>
    </row>
    <row r="163" spans="1:4">
      <c r="A163" s="14" t="s">
        <v>561</v>
      </c>
      <c r="B163" t="s">
        <v>57</v>
      </c>
      <c r="C163" s="13">
        <v>1</v>
      </c>
      <c r="D163" s="14" t="s">
        <v>55</v>
      </c>
    </row>
    <row r="164" spans="1:4">
      <c r="A164" s="14" t="s">
        <v>554</v>
      </c>
      <c r="B164" t="s">
        <v>57</v>
      </c>
      <c r="C164" s="13">
        <v>1</v>
      </c>
      <c r="D164" s="14" t="s">
        <v>55</v>
      </c>
    </row>
    <row r="165" spans="1:4">
      <c r="A165" s="14" t="s">
        <v>555</v>
      </c>
      <c r="B165" t="s">
        <v>57</v>
      </c>
      <c r="C165" s="13">
        <v>1</v>
      </c>
      <c r="D165" s="14" t="s">
        <v>55</v>
      </c>
    </row>
    <row r="166" spans="1:4">
      <c r="A166" s="14" t="s">
        <v>521</v>
      </c>
      <c r="B166" t="s">
        <v>57</v>
      </c>
      <c r="C166" s="13">
        <v>1</v>
      </c>
      <c r="D166" s="14" t="s">
        <v>55</v>
      </c>
    </row>
    <row r="167" spans="1:4">
      <c r="A167" s="14" t="s">
        <v>522</v>
      </c>
      <c r="B167" t="s">
        <v>57</v>
      </c>
      <c r="C167" s="13">
        <v>1</v>
      </c>
      <c r="D167" s="14" t="s">
        <v>55</v>
      </c>
    </row>
    <row r="168" spans="1:4">
      <c r="A168" s="14" t="s">
        <v>556</v>
      </c>
      <c r="B168" t="s">
        <v>57</v>
      </c>
      <c r="C168" s="13">
        <v>1</v>
      </c>
      <c r="D168" s="14" t="s">
        <v>55</v>
      </c>
    </row>
    <row r="169" spans="1:4">
      <c r="A169" s="14" t="s">
        <v>557</v>
      </c>
      <c r="B169" t="s">
        <v>57</v>
      </c>
      <c r="C169" s="13">
        <v>1</v>
      </c>
      <c r="D169" s="14" t="s">
        <v>55</v>
      </c>
    </row>
    <row r="170" spans="1:4">
      <c r="A170" s="14" t="s">
        <v>558</v>
      </c>
      <c r="B170" t="s">
        <v>52</v>
      </c>
      <c r="C170" s="13">
        <v>4</v>
      </c>
      <c r="D170" s="14" t="s">
        <v>55</v>
      </c>
    </row>
    <row r="171" spans="1:4">
      <c r="A171" s="14" t="s">
        <v>526</v>
      </c>
      <c r="B171" t="s">
        <v>60</v>
      </c>
      <c r="C171" s="13">
        <v>1</v>
      </c>
      <c r="D171" s="14" t="s">
        <v>30</v>
      </c>
    </row>
    <row r="172" spans="1:4">
      <c r="A172" s="14" t="s">
        <v>527</v>
      </c>
      <c r="B172" t="s">
        <v>57</v>
      </c>
      <c r="C172" s="13">
        <v>1</v>
      </c>
      <c r="D172" s="14" t="s">
        <v>55</v>
      </c>
    </row>
    <row r="173" spans="1:4">
      <c r="A173" s="14" t="s">
        <v>529</v>
      </c>
      <c r="B173" t="s">
        <v>57</v>
      </c>
      <c r="C173" s="13">
        <v>1</v>
      </c>
      <c r="D173" s="14" t="s">
        <v>55</v>
      </c>
    </row>
    <row r="176" spans="1:4">
      <c r="A176" s="288" t="s">
        <v>559</v>
      </c>
    </row>
    <row r="178" spans="1:1">
      <c r="A178" s="288" t="s">
        <v>669</v>
      </c>
    </row>
    <row r="180" spans="1:1">
      <c r="A180" s="288" t="s">
        <v>670</v>
      </c>
    </row>
  </sheetData>
  <mergeCells count="4">
    <mergeCell ref="A90:D90"/>
    <mergeCell ref="A100:D100"/>
    <mergeCell ref="A123:D123"/>
    <mergeCell ref="A2:F2"/>
  </mergeCells>
  <hyperlinks>
    <hyperlink ref="A176" r:id="rId1" xr:uid="{00000000-0004-0000-0400-000001000000}"/>
    <hyperlink ref="A178" r:id="rId2" xr:uid="{8C78B6FE-A301-428E-973B-36A401D5626C}"/>
    <hyperlink ref="A180" r:id="rId3" xr:uid="{3077A145-2EE7-4F68-A60B-8113F6E0FCC2}"/>
  </hyperlinks>
  <pageMargins left="0.7" right="0.7" top="0.75" bottom="0.75" header="0.3" footer="0.3"/>
  <pageSetup orientation="portrait" verticalDpi="0"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41ABB-1A6B-40E2-9E20-0666E4E83F44}">
  <sheetPr codeName="Sheet17"/>
  <dimension ref="A1:F176"/>
  <sheetViews>
    <sheetView topLeftCell="A13" workbookViewId="0">
      <selection activeCell="A18" sqref="A18:F19"/>
    </sheetView>
  </sheetViews>
  <sheetFormatPr defaultRowHeight="15"/>
  <cols>
    <col min="1" max="1" width="31.42578125" bestFit="1" customWidth="1"/>
    <col min="2" max="2" width="8.7109375" bestFit="1" customWidth="1"/>
    <col min="4" max="4" width="11.140625" bestFit="1" customWidth="1"/>
    <col min="5" max="5" width="11" bestFit="1" customWidth="1"/>
    <col min="6" max="6" width="12.85546875" bestFit="1" customWidth="1"/>
  </cols>
  <sheetData>
    <row r="1" spans="1:6" s="14" customFormat="1">
      <c r="A1" s="16">
        <v>1</v>
      </c>
      <c r="B1" s="16">
        <v>2</v>
      </c>
      <c r="C1" s="16">
        <v>3</v>
      </c>
      <c r="D1" s="16">
        <v>4</v>
      </c>
      <c r="E1" s="16">
        <v>5</v>
      </c>
      <c r="F1" s="10" t="s">
        <v>266</v>
      </c>
    </row>
    <row r="2" spans="1:6" ht="18.75">
      <c r="A2" s="939" t="s">
        <v>158</v>
      </c>
      <c r="B2" s="939"/>
      <c r="C2" s="939"/>
      <c r="D2" s="939"/>
      <c r="E2" s="939"/>
      <c r="F2" s="939"/>
    </row>
    <row r="3" spans="1:6">
      <c r="A3" s="14" t="s">
        <v>48</v>
      </c>
      <c r="B3" s="14" t="s">
        <v>51</v>
      </c>
      <c r="C3" s="14" t="s">
        <v>50</v>
      </c>
      <c r="D3" s="14" t="s">
        <v>49</v>
      </c>
      <c r="E3" s="14" t="s">
        <v>228</v>
      </c>
      <c r="F3" s="10" t="s">
        <v>229</v>
      </c>
    </row>
    <row r="4" spans="1:6">
      <c r="A4" s="14" t="s">
        <v>13</v>
      </c>
      <c r="B4" s="14"/>
      <c r="C4" s="14">
        <v>1</v>
      </c>
      <c r="D4" s="14" t="s">
        <v>13</v>
      </c>
      <c r="E4" s="14" t="s">
        <v>13</v>
      </c>
      <c r="F4" s="10"/>
    </row>
    <row r="5" spans="1:6" ht="15.75">
      <c r="A5" s="12" t="s">
        <v>326</v>
      </c>
      <c r="B5" s="14" t="s">
        <v>57</v>
      </c>
      <c r="C5" s="13">
        <v>16</v>
      </c>
      <c r="D5" s="14" t="s">
        <v>30</v>
      </c>
      <c r="E5" s="14" t="s">
        <v>199</v>
      </c>
      <c r="F5" s="10" t="s">
        <v>327</v>
      </c>
    </row>
    <row r="6" spans="1:6" ht="15.75">
      <c r="A6" s="12" t="s">
        <v>188</v>
      </c>
      <c r="B6" s="14" t="s">
        <v>57</v>
      </c>
      <c r="C6" s="13">
        <v>128</v>
      </c>
      <c r="D6" s="14" t="s">
        <v>58</v>
      </c>
      <c r="E6" s="14" t="s">
        <v>199</v>
      </c>
      <c r="F6" s="10" t="s">
        <v>232</v>
      </c>
    </row>
    <row r="7" spans="1:6" ht="15.75">
      <c r="A7" s="12" t="s">
        <v>328</v>
      </c>
      <c r="B7" s="14" t="s">
        <v>57</v>
      </c>
      <c r="C7" s="13">
        <v>128</v>
      </c>
      <c r="D7" s="14" t="s">
        <v>58</v>
      </c>
      <c r="E7" s="14" t="s">
        <v>199</v>
      </c>
      <c r="F7" s="10" t="s">
        <v>329</v>
      </c>
    </row>
    <row r="8" spans="1:6" ht="15.75">
      <c r="A8" s="12" t="s">
        <v>666</v>
      </c>
      <c r="B8" s="14" t="s">
        <v>57</v>
      </c>
      <c r="C8" s="13">
        <v>128</v>
      </c>
      <c r="D8" s="14" t="s">
        <v>55</v>
      </c>
      <c r="E8" s="14" t="s">
        <v>200</v>
      </c>
      <c r="F8" s="10" t="s">
        <v>232</v>
      </c>
    </row>
    <row r="9" spans="1:6" ht="15.75">
      <c r="A9" s="12" t="s">
        <v>330</v>
      </c>
      <c r="B9" s="14" t="s">
        <v>57</v>
      </c>
      <c r="C9" s="13">
        <v>16</v>
      </c>
      <c r="D9" s="14" t="s">
        <v>30</v>
      </c>
      <c r="E9" s="14" t="s">
        <v>199</v>
      </c>
      <c r="F9" s="10" t="s">
        <v>329</v>
      </c>
    </row>
    <row r="10" spans="1:6" ht="15.75">
      <c r="A10" s="12" t="s">
        <v>331</v>
      </c>
      <c r="B10" s="14" t="s">
        <v>57</v>
      </c>
      <c r="C10" s="13">
        <v>16</v>
      </c>
      <c r="D10" s="14" t="s">
        <v>30</v>
      </c>
      <c r="E10" s="14" t="s">
        <v>199</v>
      </c>
      <c r="F10" s="10" t="s">
        <v>329</v>
      </c>
    </row>
    <row r="11" spans="1:6" ht="15.75">
      <c r="A11" s="12" t="s">
        <v>332</v>
      </c>
      <c r="B11" s="14" t="s">
        <v>57</v>
      </c>
      <c r="C11" s="13">
        <v>16</v>
      </c>
      <c r="D11" s="14" t="s">
        <v>30</v>
      </c>
      <c r="E11" s="14" t="s">
        <v>199</v>
      </c>
      <c r="F11" s="10" t="s">
        <v>333</v>
      </c>
    </row>
    <row r="12" spans="1:6" ht="15.75">
      <c r="A12" s="12" t="s">
        <v>667</v>
      </c>
      <c r="B12" s="14" t="s">
        <v>57</v>
      </c>
      <c r="C12" s="13">
        <v>16</v>
      </c>
      <c r="D12" s="14" t="s">
        <v>30</v>
      </c>
      <c r="E12" s="14" t="s">
        <v>199</v>
      </c>
      <c r="F12" s="10" t="s">
        <v>232</v>
      </c>
    </row>
    <row r="13" spans="1:6" ht="15.75">
      <c r="A13" s="12" t="s">
        <v>334</v>
      </c>
      <c r="B13" s="14" t="s">
        <v>57</v>
      </c>
      <c r="C13" s="13">
        <v>16</v>
      </c>
      <c r="D13" s="14" t="s">
        <v>30</v>
      </c>
      <c r="E13" s="14" t="s">
        <v>199</v>
      </c>
      <c r="F13" s="10" t="s">
        <v>329</v>
      </c>
    </row>
    <row r="14" spans="1:6" ht="15.75">
      <c r="A14" s="12" t="s">
        <v>155</v>
      </c>
      <c r="B14" s="14" t="s">
        <v>54</v>
      </c>
      <c r="C14" s="13">
        <v>8</v>
      </c>
      <c r="D14" s="14" t="s">
        <v>55</v>
      </c>
      <c r="E14" s="14" t="s">
        <v>199</v>
      </c>
      <c r="F14" s="10" t="s">
        <v>256</v>
      </c>
    </row>
    <row r="15" spans="1:6" ht="15.75">
      <c r="A15" s="12" t="s">
        <v>335</v>
      </c>
      <c r="B15" s="14" t="s">
        <v>57</v>
      </c>
      <c r="C15" s="13">
        <v>128</v>
      </c>
      <c r="D15" s="14" t="s">
        <v>58</v>
      </c>
      <c r="E15" s="14" t="s">
        <v>199</v>
      </c>
      <c r="F15" s="10" t="s">
        <v>242</v>
      </c>
    </row>
    <row r="16" spans="1:6" ht="15.75">
      <c r="A16" s="12" t="s">
        <v>314</v>
      </c>
      <c r="B16" s="14" t="s">
        <v>54</v>
      </c>
      <c r="C16" s="13">
        <v>8</v>
      </c>
      <c r="D16" s="14" t="s">
        <v>55</v>
      </c>
      <c r="E16" s="14" t="s">
        <v>200</v>
      </c>
      <c r="F16" s="10" t="s">
        <v>315</v>
      </c>
    </row>
    <row r="17" spans="1:6" ht="15.75">
      <c r="A17" s="12" t="s">
        <v>316</v>
      </c>
      <c r="B17" s="14" t="s">
        <v>54</v>
      </c>
      <c r="C17" s="13">
        <v>8</v>
      </c>
      <c r="D17" s="14" t="s">
        <v>55</v>
      </c>
      <c r="E17" s="14" t="s">
        <v>200</v>
      </c>
      <c r="F17" s="10" t="s">
        <v>248</v>
      </c>
    </row>
    <row r="18" spans="1:6" s="14" customFormat="1" ht="15.75">
      <c r="A18" s="12" t="s">
        <v>262</v>
      </c>
      <c r="B18" s="14" t="s">
        <v>54</v>
      </c>
      <c r="C18" s="14">
        <v>8</v>
      </c>
      <c r="D18" s="14" t="s">
        <v>55</v>
      </c>
      <c r="E18" s="14" t="s">
        <v>204</v>
      </c>
      <c r="F18" s="10" t="s">
        <v>264</v>
      </c>
    </row>
    <row r="19" spans="1:6" s="14" customFormat="1" ht="15.75">
      <c r="A19" s="12" t="s">
        <v>263</v>
      </c>
      <c r="B19" s="14" t="s">
        <v>54</v>
      </c>
      <c r="C19" s="14">
        <v>8</v>
      </c>
      <c r="D19" s="14" t="s">
        <v>55</v>
      </c>
      <c r="E19" s="14" t="s">
        <v>204</v>
      </c>
      <c r="F19" s="10" t="s">
        <v>265</v>
      </c>
    </row>
    <row r="20" spans="1:6" ht="15.75">
      <c r="A20" s="12" t="s">
        <v>366</v>
      </c>
      <c r="B20" s="14" t="s">
        <v>57</v>
      </c>
      <c r="C20" s="14">
        <v>128</v>
      </c>
      <c r="D20" s="14" t="s">
        <v>55</v>
      </c>
      <c r="E20" s="14" t="s">
        <v>200</v>
      </c>
      <c r="F20" s="10" t="s">
        <v>264</v>
      </c>
    </row>
    <row r="21" spans="1:6" ht="15.75">
      <c r="A21" s="12" t="s">
        <v>336</v>
      </c>
      <c r="B21" s="14" t="s">
        <v>57</v>
      </c>
      <c r="C21" s="13">
        <v>16</v>
      </c>
      <c r="D21" s="14" t="s">
        <v>30</v>
      </c>
      <c r="E21" s="14" t="s">
        <v>199</v>
      </c>
      <c r="F21" s="10" t="s">
        <v>327</v>
      </c>
    </row>
    <row r="22" spans="1:6" ht="15.75">
      <c r="A22" s="12" t="s">
        <v>194</v>
      </c>
      <c r="B22" s="14" t="s">
        <v>57</v>
      </c>
      <c r="C22" s="13">
        <v>16</v>
      </c>
      <c r="D22" s="14" t="s">
        <v>30</v>
      </c>
      <c r="E22" s="14" t="s">
        <v>199</v>
      </c>
      <c r="F22" s="10" t="s">
        <v>232</v>
      </c>
    </row>
    <row r="23" spans="1:6" ht="15.75">
      <c r="A23" s="12" t="s">
        <v>337</v>
      </c>
      <c r="B23" s="14" t="s">
        <v>57</v>
      </c>
      <c r="C23" s="13">
        <v>16</v>
      </c>
      <c r="D23" s="14" t="s">
        <v>30</v>
      </c>
      <c r="E23" s="14" t="s">
        <v>199</v>
      </c>
      <c r="F23" s="10" t="s">
        <v>338</v>
      </c>
    </row>
    <row r="24" spans="1:6" ht="15.75">
      <c r="A24" s="12" t="s">
        <v>317</v>
      </c>
      <c r="B24" s="14" t="s">
        <v>57</v>
      </c>
      <c r="C24" s="13">
        <v>16</v>
      </c>
      <c r="D24" s="14" t="s">
        <v>30</v>
      </c>
      <c r="E24" s="14" t="s">
        <v>200</v>
      </c>
      <c r="F24" s="10" t="s">
        <v>250</v>
      </c>
    </row>
    <row r="25" spans="1:6" ht="15.75">
      <c r="A25" s="12" t="s">
        <v>339</v>
      </c>
      <c r="B25" s="14" t="s">
        <v>54</v>
      </c>
      <c r="C25" s="13">
        <v>8</v>
      </c>
      <c r="D25" s="14" t="s">
        <v>55</v>
      </c>
      <c r="E25" s="14" t="s">
        <v>199</v>
      </c>
      <c r="F25" s="10" t="s">
        <v>340</v>
      </c>
    </row>
    <row r="26" spans="1:6" ht="15.75">
      <c r="A26" s="12" t="s">
        <v>231</v>
      </c>
      <c r="B26" s="14" t="s">
        <v>57</v>
      </c>
      <c r="C26" s="13">
        <v>128</v>
      </c>
      <c r="D26" s="14" t="s">
        <v>55</v>
      </c>
      <c r="E26" s="14" t="s">
        <v>204</v>
      </c>
      <c r="F26" s="10">
        <v>9</v>
      </c>
    </row>
    <row r="27" spans="1:6" ht="15.75">
      <c r="A27" s="12" t="s">
        <v>318</v>
      </c>
      <c r="B27" s="14" t="s">
        <v>60</v>
      </c>
      <c r="C27" s="13">
        <v>1</v>
      </c>
      <c r="D27" s="14" t="s">
        <v>30</v>
      </c>
      <c r="E27" s="14" t="s">
        <v>200</v>
      </c>
      <c r="F27" s="10" t="s">
        <v>319</v>
      </c>
    </row>
    <row r="28" spans="1:6" s="14" customFormat="1" ht="15.75">
      <c r="A28" s="12" t="s">
        <v>320</v>
      </c>
      <c r="B28" s="14" t="s">
        <v>57</v>
      </c>
      <c r="C28" s="13">
        <v>16</v>
      </c>
      <c r="D28" s="14" t="s">
        <v>30</v>
      </c>
      <c r="E28" s="14" t="s">
        <v>200</v>
      </c>
      <c r="F28" s="10" t="s">
        <v>246</v>
      </c>
    </row>
    <row r="29" spans="1:6" ht="15.75">
      <c r="A29" s="12" t="s">
        <v>668</v>
      </c>
      <c r="B29" s="14" t="s">
        <v>54</v>
      </c>
      <c r="C29" s="13">
        <v>8</v>
      </c>
      <c r="D29" s="14" t="s">
        <v>55</v>
      </c>
      <c r="E29" s="14" t="s">
        <v>199</v>
      </c>
      <c r="F29" s="10" t="s">
        <v>256</v>
      </c>
    </row>
    <row r="30" spans="1:6" ht="15.75">
      <c r="A30" s="12" t="s">
        <v>156</v>
      </c>
      <c r="B30" s="14" t="s">
        <v>57</v>
      </c>
      <c r="C30" s="13">
        <v>16</v>
      </c>
      <c r="D30" s="14" t="s">
        <v>30</v>
      </c>
      <c r="E30" s="14" t="s">
        <v>199</v>
      </c>
      <c r="F30" s="10" t="s">
        <v>329</v>
      </c>
    </row>
    <row r="31" spans="1:6" ht="15.75">
      <c r="A31" s="12" t="s">
        <v>69</v>
      </c>
      <c r="B31" s="14" t="s">
        <v>57</v>
      </c>
      <c r="C31" s="13">
        <v>128</v>
      </c>
      <c r="D31" s="14" t="s">
        <v>55</v>
      </c>
      <c r="E31" s="14" t="s">
        <v>200</v>
      </c>
      <c r="F31" s="10" t="s">
        <v>248</v>
      </c>
    </row>
    <row r="32" spans="1:6" ht="15.75">
      <c r="A32" s="12" t="s">
        <v>341</v>
      </c>
      <c r="B32" s="14" t="s">
        <v>54</v>
      </c>
      <c r="C32" s="13">
        <v>8</v>
      </c>
      <c r="D32" s="14" t="s">
        <v>55</v>
      </c>
      <c r="E32" s="14" t="s">
        <v>199</v>
      </c>
      <c r="F32" s="10" t="s">
        <v>232</v>
      </c>
    </row>
    <row r="33" spans="1:6" ht="15.75">
      <c r="A33" s="12" t="s">
        <v>321</v>
      </c>
      <c r="B33" s="14" t="s">
        <v>54</v>
      </c>
      <c r="C33" s="13">
        <v>8</v>
      </c>
      <c r="D33" s="14" t="s">
        <v>55</v>
      </c>
      <c r="E33" s="14" t="s">
        <v>200</v>
      </c>
      <c r="F33" s="10" t="s">
        <v>250</v>
      </c>
    </row>
    <row r="34" spans="1:6" ht="15.75">
      <c r="A34" s="12" t="s">
        <v>183</v>
      </c>
      <c r="B34" s="14" t="s">
        <v>57</v>
      </c>
      <c r="C34" s="13">
        <v>16</v>
      </c>
      <c r="D34" s="14" t="s">
        <v>30</v>
      </c>
      <c r="E34" s="14" t="s">
        <v>200</v>
      </c>
      <c r="F34" s="10" t="s">
        <v>250</v>
      </c>
    </row>
    <row r="35" spans="1:6" ht="15.75">
      <c r="A35" s="12" t="s">
        <v>322</v>
      </c>
      <c r="B35" s="14" t="s">
        <v>54</v>
      </c>
      <c r="C35" s="13">
        <v>8</v>
      </c>
      <c r="D35" s="14" t="s">
        <v>55</v>
      </c>
      <c r="E35" s="14" t="s">
        <v>200</v>
      </c>
      <c r="F35" s="10" t="s">
        <v>249</v>
      </c>
    </row>
    <row r="36" spans="1:6" ht="15.75">
      <c r="A36" s="12" t="s">
        <v>323</v>
      </c>
      <c r="B36" s="14" t="s">
        <v>57</v>
      </c>
      <c r="C36" s="13">
        <v>128</v>
      </c>
      <c r="D36" s="14" t="s">
        <v>55</v>
      </c>
      <c r="E36" s="14" t="s">
        <v>200</v>
      </c>
      <c r="F36" s="10" t="s">
        <v>251</v>
      </c>
    </row>
    <row r="37" spans="1:6" ht="15.75">
      <c r="A37" s="12" t="s">
        <v>342</v>
      </c>
      <c r="B37" s="14" t="s">
        <v>57</v>
      </c>
      <c r="C37" s="13">
        <v>128</v>
      </c>
      <c r="D37" s="14" t="s">
        <v>55</v>
      </c>
      <c r="E37" s="14" t="s">
        <v>199</v>
      </c>
      <c r="F37" s="10" t="s">
        <v>343</v>
      </c>
    </row>
    <row r="38" spans="1:6" ht="15.75">
      <c r="A38" s="12" t="s">
        <v>344</v>
      </c>
      <c r="B38" s="14" t="s">
        <v>57</v>
      </c>
      <c r="C38" s="13">
        <v>16</v>
      </c>
      <c r="D38" s="14" t="s">
        <v>30</v>
      </c>
      <c r="E38" s="14" t="s">
        <v>199</v>
      </c>
      <c r="F38" s="10" t="s">
        <v>329</v>
      </c>
    </row>
    <row r="39" spans="1:6" ht="15.75">
      <c r="A39" s="12" t="s">
        <v>345</v>
      </c>
      <c r="B39" s="14" t="s">
        <v>57</v>
      </c>
      <c r="C39" s="13">
        <v>16</v>
      </c>
      <c r="D39" s="14" t="s">
        <v>30</v>
      </c>
      <c r="E39" s="14" t="s">
        <v>199</v>
      </c>
      <c r="F39" s="10" t="s">
        <v>242</v>
      </c>
    </row>
    <row r="40" spans="1:6" ht="15.75">
      <c r="A40" s="12" t="s">
        <v>324</v>
      </c>
      <c r="B40" s="14" t="s">
        <v>54</v>
      </c>
      <c r="C40" s="13">
        <v>8</v>
      </c>
      <c r="D40" s="14" t="s">
        <v>55</v>
      </c>
      <c r="E40" s="14" t="s">
        <v>200</v>
      </c>
      <c r="F40" s="10" t="s">
        <v>249</v>
      </c>
    </row>
    <row r="41" spans="1:6" ht="15.75">
      <c r="A41" s="12" t="s">
        <v>664</v>
      </c>
      <c r="B41" s="14" t="s">
        <v>57</v>
      </c>
      <c r="C41" s="13">
        <v>128</v>
      </c>
      <c r="D41" s="14" t="s">
        <v>55</v>
      </c>
      <c r="E41" s="14" t="s">
        <v>199</v>
      </c>
      <c r="F41" s="10" t="s">
        <v>665</v>
      </c>
    </row>
    <row r="42" spans="1:6" ht="15.75">
      <c r="A42" s="12" t="s">
        <v>346</v>
      </c>
      <c r="B42" s="14" t="s">
        <v>57</v>
      </c>
      <c r="C42" s="13">
        <v>16</v>
      </c>
      <c r="D42" s="14" t="s">
        <v>30</v>
      </c>
      <c r="E42" s="14" t="s">
        <v>199</v>
      </c>
      <c r="F42" s="10" t="s">
        <v>347</v>
      </c>
    </row>
    <row r="43" spans="1:6" ht="15.75">
      <c r="A43" s="12" t="s">
        <v>348</v>
      </c>
      <c r="B43" s="14" t="s">
        <v>57</v>
      </c>
      <c r="C43" s="13">
        <v>16</v>
      </c>
      <c r="D43" s="14" t="s">
        <v>30</v>
      </c>
      <c r="E43" s="14" t="s">
        <v>199</v>
      </c>
      <c r="F43" s="10" t="s">
        <v>329</v>
      </c>
    </row>
    <row r="44" spans="1:6" ht="15.75">
      <c r="A44" s="12" t="s">
        <v>325</v>
      </c>
      <c r="B44" s="14" t="s">
        <v>57</v>
      </c>
      <c r="C44" s="13">
        <v>128</v>
      </c>
      <c r="D44" s="14" t="s">
        <v>55</v>
      </c>
      <c r="E44" s="14" t="s">
        <v>200</v>
      </c>
      <c r="F44" s="10" t="s">
        <v>251</v>
      </c>
    </row>
    <row r="45" spans="1:6" ht="15.75">
      <c r="A45" s="12" t="s">
        <v>72</v>
      </c>
      <c r="B45" s="14" t="s">
        <v>57</v>
      </c>
      <c r="C45" s="13">
        <v>128</v>
      </c>
      <c r="D45" s="14" t="s">
        <v>55</v>
      </c>
      <c r="E45" s="14" t="s">
        <v>199</v>
      </c>
      <c r="F45" s="10" t="s">
        <v>232</v>
      </c>
    </row>
    <row r="46" spans="1:6" ht="15.75">
      <c r="A46" s="12" t="s">
        <v>73</v>
      </c>
      <c r="B46" s="14" t="s">
        <v>54</v>
      </c>
      <c r="C46" s="13">
        <v>8</v>
      </c>
      <c r="D46" s="14" t="s">
        <v>55</v>
      </c>
      <c r="E46" s="14" t="s">
        <v>200</v>
      </c>
      <c r="F46" s="10" t="s">
        <v>252</v>
      </c>
    </row>
    <row r="47" spans="1:6" ht="15.75">
      <c r="A47" s="12" t="s">
        <v>349</v>
      </c>
      <c r="B47" s="14" t="s">
        <v>57</v>
      </c>
      <c r="C47" s="13">
        <v>128</v>
      </c>
      <c r="D47" s="14" t="s">
        <v>55</v>
      </c>
      <c r="E47" s="14" t="s">
        <v>199</v>
      </c>
      <c r="F47" s="10" t="s">
        <v>232</v>
      </c>
    </row>
    <row r="48" spans="1:6" ht="15.75">
      <c r="A48" s="12" t="s">
        <v>367</v>
      </c>
      <c r="B48" s="14" t="s">
        <v>57</v>
      </c>
      <c r="C48" s="14">
        <v>128</v>
      </c>
      <c r="D48" s="14" t="s">
        <v>55</v>
      </c>
      <c r="E48" s="14" t="s">
        <v>200</v>
      </c>
      <c r="F48" s="10" t="s">
        <v>264</v>
      </c>
    </row>
    <row r="49" spans="1:6" ht="15.75">
      <c r="A49" s="12" t="s">
        <v>74</v>
      </c>
      <c r="B49" s="14" t="s">
        <v>57</v>
      </c>
      <c r="C49" s="13">
        <v>1</v>
      </c>
      <c r="D49" s="14" t="s">
        <v>55</v>
      </c>
      <c r="E49" s="14" t="s">
        <v>200</v>
      </c>
      <c r="F49" s="10" t="s">
        <v>248</v>
      </c>
    </row>
    <row r="50" spans="1:6" s="14" customFormat="1" ht="15.75">
      <c r="A50" s="12" t="s">
        <v>350</v>
      </c>
      <c r="B50" s="14" t="s">
        <v>57</v>
      </c>
      <c r="C50" s="13">
        <v>128</v>
      </c>
      <c r="D50" s="14" t="s">
        <v>55</v>
      </c>
      <c r="E50" s="14" t="s">
        <v>199</v>
      </c>
      <c r="F50" s="10" t="s">
        <v>338</v>
      </c>
    </row>
    <row r="51" spans="1:6">
      <c r="A51" s="14"/>
      <c r="B51" s="14"/>
      <c r="C51" s="14"/>
      <c r="D51" s="14"/>
      <c r="E51" s="14"/>
      <c r="F51" s="14"/>
    </row>
    <row r="52" spans="1:6">
      <c r="A52" s="14" t="s">
        <v>13</v>
      </c>
      <c r="B52" s="14"/>
      <c r="C52" s="14">
        <v>1</v>
      </c>
      <c r="D52" s="14" t="s">
        <v>13</v>
      </c>
      <c r="E52" s="14" t="s">
        <v>204</v>
      </c>
      <c r="F52" s="10"/>
    </row>
    <row r="53" spans="1:6" ht="15.75">
      <c r="A53" s="12" t="s">
        <v>188</v>
      </c>
      <c r="B53" s="14" t="s">
        <v>57</v>
      </c>
      <c r="C53" s="14">
        <v>128</v>
      </c>
      <c r="D53" s="14" t="s">
        <v>55</v>
      </c>
      <c r="E53" s="14" t="s">
        <v>204</v>
      </c>
      <c r="F53" s="10" t="s">
        <v>232</v>
      </c>
    </row>
    <row r="54" spans="1:6" ht="15.75">
      <c r="A54" s="12" t="s">
        <v>351</v>
      </c>
      <c r="B54" s="14" t="s">
        <v>57</v>
      </c>
      <c r="C54" s="14">
        <v>128</v>
      </c>
      <c r="D54" s="14" t="s">
        <v>55</v>
      </c>
      <c r="E54" s="14" t="s">
        <v>204</v>
      </c>
      <c r="F54" s="10">
        <v>1</v>
      </c>
    </row>
    <row r="55" spans="1:6" ht="15.75">
      <c r="A55" s="12" t="s">
        <v>208</v>
      </c>
      <c r="B55" s="14" t="s">
        <v>54</v>
      </c>
      <c r="C55" s="14">
        <v>8</v>
      </c>
      <c r="D55" s="14" t="s">
        <v>55</v>
      </c>
      <c r="E55" s="14" t="s">
        <v>204</v>
      </c>
      <c r="F55" s="10">
        <v>6</v>
      </c>
    </row>
    <row r="56" spans="1:6" ht="15.75">
      <c r="A56" s="12" t="s">
        <v>61</v>
      </c>
      <c r="B56" s="14" t="s">
        <v>57</v>
      </c>
      <c r="C56" s="14">
        <v>16</v>
      </c>
      <c r="D56" s="14" t="s">
        <v>30</v>
      </c>
      <c r="E56" s="14" t="s">
        <v>204</v>
      </c>
      <c r="F56" s="10">
        <v>14</v>
      </c>
    </row>
    <row r="57" spans="1:6" ht="15.75">
      <c r="A57" s="12" t="s">
        <v>365</v>
      </c>
      <c r="B57" s="14" t="s">
        <v>52</v>
      </c>
      <c r="C57" s="14">
        <v>4</v>
      </c>
      <c r="D57" s="14" t="s">
        <v>55</v>
      </c>
      <c r="E57" s="14" t="s">
        <v>204</v>
      </c>
      <c r="F57" s="10" t="s">
        <v>369</v>
      </c>
    </row>
    <row r="58" spans="1:6" ht="15.75">
      <c r="A58" s="12" t="s">
        <v>352</v>
      </c>
      <c r="B58" s="14" t="s">
        <v>57</v>
      </c>
      <c r="C58" s="14">
        <v>16</v>
      </c>
      <c r="D58" s="14" t="s">
        <v>30</v>
      </c>
      <c r="E58" s="14" t="s">
        <v>204</v>
      </c>
      <c r="F58" s="10">
        <v>2</v>
      </c>
    </row>
    <row r="59" spans="1:6" ht="15.75">
      <c r="A59" s="12" t="s">
        <v>353</v>
      </c>
      <c r="B59" s="14" t="s">
        <v>57</v>
      </c>
      <c r="C59" s="14">
        <v>128</v>
      </c>
      <c r="D59" s="14" t="s">
        <v>55</v>
      </c>
      <c r="E59" s="14" t="s">
        <v>204</v>
      </c>
      <c r="F59" s="10">
        <v>14</v>
      </c>
    </row>
    <row r="60" spans="1:6" ht="15.75">
      <c r="A60" s="12" t="s">
        <v>366</v>
      </c>
      <c r="B60" s="14" t="s">
        <v>57</v>
      </c>
      <c r="C60" s="14">
        <v>128</v>
      </c>
      <c r="D60" s="14" t="s">
        <v>55</v>
      </c>
      <c r="E60" s="14" t="s">
        <v>204</v>
      </c>
      <c r="F60" s="10" t="s">
        <v>264</v>
      </c>
    </row>
    <row r="61" spans="1:6" s="14" customFormat="1" ht="15.75">
      <c r="A61" s="12" t="s">
        <v>262</v>
      </c>
      <c r="B61" s="14" t="s">
        <v>54</v>
      </c>
      <c r="C61" s="14">
        <v>8</v>
      </c>
      <c r="D61" s="14" t="s">
        <v>55</v>
      </c>
      <c r="E61" s="14" t="s">
        <v>204</v>
      </c>
      <c r="F61" s="10" t="s">
        <v>264</v>
      </c>
    </row>
    <row r="62" spans="1:6" s="14" customFormat="1" ht="15.75">
      <c r="A62" s="12" t="s">
        <v>263</v>
      </c>
      <c r="B62" s="14" t="s">
        <v>54</v>
      </c>
      <c r="C62" s="14">
        <v>8</v>
      </c>
      <c r="D62" s="14" t="s">
        <v>55</v>
      </c>
      <c r="E62" s="14" t="s">
        <v>204</v>
      </c>
      <c r="F62" s="10" t="s">
        <v>265</v>
      </c>
    </row>
    <row r="63" spans="1:6" ht="15.75">
      <c r="A63" s="12" t="s">
        <v>317</v>
      </c>
      <c r="B63" s="14" t="s">
        <v>57</v>
      </c>
      <c r="C63" s="13">
        <v>16</v>
      </c>
      <c r="D63" s="14" t="s">
        <v>30</v>
      </c>
      <c r="E63" s="14" t="s">
        <v>204</v>
      </c>
      <c r="F63" s="10">
        <v>2</v>
      </c>
    </row>
    <row r="64" spans="1:6" ht="15.75">
      <c r="A64" s="12" t="s">
        <v>354</v>
      </c>
      <c r="B64" s="14" t="s">
        <v>54</v>
      </c>
      <c r="C64" s="14">
        <v>8</v>
      </c>
      <c r="D64" s="14" t="s">
        <v>55</v>
      </c>
      <c r="E64" s="14" t="s">
        <v>204</v>
      </c>
      <c r="F64" s="10">
        <v>14</v>
      </c>
    </row>
    <row r="65" spans="1:6" ht="15.75">
      <c r="A65" s="12" t="s">
        <v>339</v>
      </c>
      <c r="B65" s="14" t="s">
        <v>54</v>
      </c>
      <c r="C65" s="14">
        <v>8</v>
      </c>
      <c r="D65" s="14" t="s">
        <v>55</v>
      </c>
      <c r="E65" s="14" t="s">
        <v>204</v>
      </c>
      <c r="F65" s="10" t="s">
        <v>340</v>
      </c>
    </row>
    <row r="66" spans="1:6" ht="15.75">
      <c r="A66" s="12" t="s">
        <v>355</v>
      </c>
      <c r="B66" s="14" t="s">
        <v>57</v>
      </c>
      <c r="C66" s="14">
        <v>128</v>
      </c>
      <c r="D66" s="14" t="s">
        <v>55</v>
      </c>
      <c r="E66" s="14" t="s">
        <v>204</v>
      </c>
      <c r="F66" s="10">
        <v>1</v>
      </c>
    </row>
    <row r="67" spans="1:6" ht="15.75">
      <c r="A67" s="12" t="s">
        <v>356</v>
      </c>
      <c r="B67" s="14" t="s">
        <v>54</v>
      </c>
      <c r="C67" s="14">
        <v>8</v>
      </c>
      <c r="D67" s="14" t="s">
        <v>55</v>
      </c>
      <c r="E67" s="14" t="s">
        <v>204</v>
      </c>
      <c r="F67" s="10">
        <v>1</v>
      </c>
    </row>
    <row r="68" spans="1:6" ht="15.75">
      <c r="A68" s="12" t="s">
        <v>231</v>
      </c>
      <c r="B68" s="14" t="s">
        <v>57</v>
      </c>
      <c r="C68" s="13">
        <v>128</v>
      </c>
      <c r="D68" s="14" t="s">
        <v>55</v>
      </c>
      <c r="E68" s="14" t="s">
        <v>204</v>
      </c>
      <c r="F68" s="10">
        <v>9</v>
      </c>
    </row>
    <row r="69" spans="1:6" ht="15.75">
      <c r="A69" s="12" t="s">
        <v>357</v>
      </c>
      <c r="B69" s="14" t="s">
        <v>57</v>
      </c>
      <c r="C69" s="13">
        <v>16</v>
      </c>
      <c r="D69" s="14" t="s">
        <v>30</v>
      </c>
      <c r="E69" s="14" t="s">
        <v>204</v>
      </c>
      <c r="F69" s="10">
        <v>2</v>
      </c>
    </row>
    <row r="70" spans="1:6" ht="15.75">
      <c r="A70" s="12" t="s">
        <v>774</v>
      </c>
      <c r="B70" s="14" t="s">
        <v>57</v>
      </c>
      <c r="C70" s="14">
        <v>128</v>
      </c>
      <c r="D70" s="14" t="s">
        <v>55</v>
      </c>
      <c r="E70" s="14" t="s">
        <v>204</v>
      </c>
      <c r="F70" s="10" t="s">
        <v>368</v>
      </c>
    </row>
    <row r="71" spans="1:6" ht="15.75">
      <c r="A71" s="12" t="s">
        <v>358</v>
      </c>
      <c r="B71" s="14" t="s">
        <v>57</v>
      </c>
      <c r="C71" s="14">
        <v>128</v>
      </c>
      <c r="D71" s="14" t="s">
        <v>55</v>
      </c>
      <c r="E71" s="14" t="s">
        <v>204</v>
      </c>
      <c r="F71" s="10" t="s">
        <v>343</v>
      </c>
    </row>
    <row r="72" spans="1:6" ht="15.75">
      <c r="A72" s="12" t="s">
        <v>359</v>
      </c>
      <c r="B72" s="14" t="s">
        <v>57</v>
      </c>
      <c r="C72" s="14">
        <v>128</v>
      </c>
      <c r="D72" s="14" t="s">
        <v>55</v>
      </c>
      <c r="E72" s="14" t="s">
        <v>204</v>
      </c>
      <c r="F72" s="10">
        <v>14</v>
      </c>
    </row>
    <row r="73" spans="1:6" ht="15.75">
      <c r="A73" s="12" t="s">
        <v>360</v>
      </c>
      <c r="B73" s="14" t="s">
        <v>57</v>
      </c>
      <c r="C73" s="14">
        <v>128</v>
      </c>
      <c r="D73" s="14" t="s">
        <v>55</v>
      </c>
      <c r="E73" s="14" t="s">
        <v>204</v>
      </c>
      <c r="F73" s="10">
        <v>1</v>
      </c>
    </row>
    <row r="74" spans="1:6" ht="15.75">
      <c r="A74" s="12" t="s">
        <v>341</v>
      </c>
      <c r="B74" s="14" t="s">
        <v>54</v>
      </c>
      <c r="C74" s="13">
        <v>8</v>
      </c>
      <c r="D74" s="14" t="s">
        <v>55</v>
      </c>
      <c r="E74" s="14" t="s">
        <v>204</v>
      </c>
      <c r="F74" s="10" t="s">
        <v>232</v>
      </c>
    </row>
    <row r="75" spans="1:6" ht="15.75">
      <c r="A75" s="12" t="s">
        <v>361</v>
      </c>
      <c r="B75" s="14" t="s">
        <v>57</v>
      </c>
      <c r="C75" s="14">
        <v>128</v>
      </c>
      <c r="D75" s="14" t="s">
        <v>55</v>
      </c>
      <c r="E75" s="14" t="s">
        <v>204</v>
      </c>
      <c r="F75" s="10">
        <v>2</v>
      </c>
    </row>
    <row r="76" spans="1:6" ht="15.75">
      <c r="A76" s="12" t="s">
        <v>362</v>
      </c>
      <c r="B76" s="14" t="s">
        <v>57</v>
      </c>
      <c r="C76" s="14">
        <v>128</v>
      </c>
      <c r="D76" s="14" t="s">
        <v>55</v>
      </c>
      <c r="E76" s="14" t="s">
        <v>204</v>
      </c>
      <c r="F76" s="10">
        <v>2</v>
      </c>
    </row>
    <row r="77" spans="1:6" ht="15.75">
      <c r="A77" s="12" t="s">
        <v>157</v>
      </c>
      <c r="B77" s="14" t="s">
        <v>54</v>
      </c>
      <c r="C77" s="13">
        <v>8</v>
      </c>
      <c r="D77" s="14" t="s">
        <v>55</v>
      </c>
      <c r="E77" s="14" t="s">
        <v>204</v>
      </c>
      <c r="F77" s="10">
        <v>14</v>
      </c>
    </row>
    <row r="78" spans="1:6" ht="15.75">
      <c r="A78" s="12" t="s">
        <v>214</v>
      </c>
      <c r="B78" s="14" t="s">
        <v>57</v>
      </c>
      <c r="C78" s="14">
        <v>128</v>
      </c>
      <c r="D78" s="14" t="s">
        <v>55</v>
      </c>
      <c r="E78" s="14" t="s">
        <v>204</v>
      </c>
      <c r="F78" s="10">
        <v>14</v>
      </c>
    </row>
    <row r="79" spans="1:6" ht="15.75">
      <c r="A79" s="12" t="s">
        <v>363</v>
      </c>
      <c r="B79" s="14" t="s">
        <v>57</v>
      </c>
      <c r="C79" s="14">
        <v>128</v>
      </c>
      <c r="D79" s="14" t="s">
        <v>55</v>
      </c>
      <c r="E79" s="14" t="s">
        <v>204</v>
      </c>
      <c r="F79" s="10">
        <v>1</v>
      </c>
    </row>
    <row r="80" spans="1:6" ht="15.75">
      <c r="A80" s="12" t="s">
        <v>227</v>
      </c>
      <c r="B80" s="14" t="s">
        <v>54</v>
      </c>
      <c r="C80" s="14">
        <v>8</v>
      </c>
      <c r="D80" s="14" t="s">
        <v>55</v>
      </c>
      <c r="E80" s="14" t="s">
        <v>204</v>
      </c>
      <c r="F80" s="10" t="s">
        <v>243</v>
      </c>
    </row>
    <row r="81" spans="1:6" ht="15.75">
      <c r="A81" s="12" t="s">
        <v>345</v>
      </c>
      <c r="B81" s="14" t="s">
        <v>57</v>
      </c>
      <c r="C81" s="13">
        <v>16</v>
      </c>
      <c r="D81" s="14" t="s">
        <v>30</v>
      </c>
      <c r="E81" s="14" t="s">
        <v>204</v>
      </c>
      <c r="F81" s="10" t="s">
        <v>242</v>
      </c>
    </row>
    <row r="82" spans="1:6" s="14" customFormat="1" ht="15.75">
      <c r="A82" s="12" t="s">
        <v>770</v>
      </c>
      <c r="B82" s="14" t="s">
        <v>57</v>
      </c>
      <c r="C82" s="13">
        <v>128</v>
      </c>
      <c r="D82" s="14" t="s">
        <v>55</v>
      </c>
      <c r="E82" s="14" t="s">
        <v>204</v>
      </c>
      <c r="F82" s="10" t="s">
        <v>771</v>
      </c>
    </row>
    <row r="83" spans="1:6" ht="15.75">
      <c r="A83" s="12" t="s">
        <v>364</v>
      </c>
      <c r="B83" s="14" t="s">
        <v>54</v>
      </c>
      <c r="C83" s="13">
        <v>8</v>
      </c>
      <c r="D83" s="14" t="s">
        <v>55</v>
      </c>
      <c r="E83" s="14" t="s">
        <v>204</v>
      </c>
      <c r="F83" s="10">
        <v>14</v>
      </c>
    </row>
    <row r="84" spans="1:6" ht="15.75">
      <c r="A84" s="12" t="s">
        <v>349</v>
      </c>
      <c r="B84" s="14" t="s">
        <v>57</v>
      </c>
      <c r="C84" s="14">
        <v>128</v>
      </c>
      <c r="D84" s="14" t="s">
        <v>55</v>
      </c>
      <c r="E84" s="14" t="s">
        <v>204</v>
      </c>
      <c r="F84" s="10" t="s">
        <v>232</v>
      </c>
    </row>
    <row r="85" spans="1:6" ht="15.75">
      <c r="A85" s="12" t="s">
        <v>367</v>
      </c>
      <c r="B85" s="14" t="s">
        <v>57</v>
      </c>
      <c r="C85" s="14">
        <v>128</v>
      </c>
      <c r="D85" s="14" t="s">
        <v>55</v>
      </c>
      <c r="E85" s="14" t="s">
        <v>204</v>
      </c>
      <c r="F85" s="10" t="s">
        <v>264</v>
      </c>
    </row>
    <row r="86" spans="1:6">
      <c r="A86" s="14"/>
      <c r="B86" s="14"/>
      <c r="C86" s="14"/>
      <c r="D86" s="14"/>
      <c r="E86" s="14"/>
      <c r="F86" s="14"/>
    </row>
    <row r="87" spans="1:6">
      <c r="A87" s="14"/>
      <c r="B87" s="14"/>
      <c r="C87" s="14"/>
      <c r="D87" s="14"/>
      <c r="E87" s="14"/>
      <c r="F87" s="14"/>
    </row>
    <row r="88" spans="1:6">
      <c r="A88" s="14"/>
      <c r="B88" s="14"/>
      <c r="C88" s="14"/>
      <c r="D88" s="14"/>
      <c r="E88" s="14"/>
      <c r="F88" s="14"/>
    </row>
    <row r="89" spans="1:6">
      <c r="A89" s="14"/>
      <c r="B89" s="14"/>
      <c r="C89" s="14"/>
      <c r="D89" s="14"/>
      <c r="E89" s="14"/>
      <c r="F89" s="14"/>
    </row>
    <row r="90" spans="1:6">
      <c r="A90" s="14"/>
      <c r="B90" s="14"/>
      <c r="C90" s="14"/>
      <c r="D90" s="14"/>
      <c r="E90" s="14"/>
      <c r="F90" s="14"/>
    </row>
    <row r="91" spans="1:6">
      <c r="A91" s="14"/>
      <c r="B91" s="14"/>
      <c r="C91" s="14"/>
      <c r="D91" s="14"/>
      <c r="E91" s="14"/>
      <c r="F91" s="14"/>
    </row>
    <row r="92" spans="1:6">
      <c r="A92" s="14"/>
      <c r="B92" s="14"/>
      <c r="C92" s="14"/>
      <c r="D92" s="14"/>
      <c r="E92" s="14"/>
      <c r="F92" s="14"/>
    </row>
    <row r="93" spans="1:6">
      <c r="A93" s="14"/>
      <c r="B93" s="14"/>
      <c r="C93" s="14"/>
      <c r="D93" s="14"/>
      <c r="E93" s="14"/>
      <c r="F93" s="14"/>
    </row>
    <row r="94" spans="1:6">
      <c r="A94" s="14"/>
      <c r="B94" s="14"/>
      <c r="C94" s="14"/>
      <c r="D94" s="14"/>
      <c r="E94" s="14"/>
      <c r="F94" s="14"/>
    </row>
    <row r="95" spans="1:6">
      <c r="A95" s="14"/>
      <c r="B95" s="14"/>
      <c r="C95" s="14"/>
      <c r="D95" s="14"/>
      <c r="E95" s="14"/>
      <c r="F95" s="14"/>
    </row>
    <row r="96" spans="1:6">
      <c r="A96" s="14"/>
      <c r="B96" s="14"/>
      <c r="C96" s="14"/>
      <c r="D96" s="14"/>
      <c r="E96" s="14"/>
      <c r="F96" s="14"/>
    </row>
    <row r="97" spans="1:6">
      <c r="A97" s="14"/>
      <c r="B97" s="14"/>
      <c r="C97" s="14"/>
      <c r="D97" s="14"/>
      <c r="E97" s="14"/>
      <c r="F97" s="14"/>
    </row>
    <row r="98" spans="1:6">
      <c r="A98" s="14"/>
      <c r="B98" s="14"/>
      <c r="C98" s="14"/>
      <c r="D98" s="14"/>
      <c r="E98" s="14"/>
      <c r="F98" s="14"/>
    </row>
    <row r="99" spans="1:6">
      <c r="A99" s="14"/>
      <c r="B99" s="14"/>
      <c r="C99" s="14"/>
      <c r="D99" s="14"/>
      <c r="E99" s="14"/>
      <c r="F99" s="14"/>
    </row>
    <row r="100" spans="1:6">
      <c r="A100" s="14"/>
      <c r="B100" s="14"/>
      <c r="C100" s="14"/>
      <c r="D100" s="14"/>
      <c r="E100" s="14"/>
      <c r="F100" s="14"/>
    </row>
    <row r="101" spans="1:6">
      <c r="A101" s="14"/>
      <c r="B101" s="14"/>
      <c r="C101" s="14"/>
      <c r="D101" s="14"/>
      <c r="E101" s="14"/>
      <c r="F101" s="14"/>
    </row>
    <row r="102" spans="1:6" ht="21">
      <c r="A102" s="945" t="s">
        <v>459</v>
      </c>
      <c r="B102" s="945"/>
      <c r="C102" s="945"/>
      <c r="D102" s="945"/>
      <c r="E102" s="14"/>
      <c r="F102" s="14"/>
    </row>
    <row r="103" spans="1:6" ht="15.75">
      <c r="A103" s="12" t="s">
        <v>13</v>
      </c>
      <c r="B103" s="14"/>
      <c r="C103" s="13">
        <v>1</v>
      </c>
      <c r="D103" s="14" t="s">
        <v>13</v>
      </c>
      <c r="E103" s="14"/>
      <c r="F103" s="14"/>
    </row>
    <row r="104" spans="1:6">
      <c r="A104" s="14" t="s">
        <v>451</v>
      </c>
      <c r="B104" s="14" t="s">
        <v>57</v>
      </c>
      <c r="C104" s="13">
        <v>128</v>
      </c>
      <c r="D104" s="14" t="s">
        <v>25</v>
      </c>
      <c r="E104" s="14"/>
      <c r="F104" s="14"/>
    </row>
    <row r="105" spans="1:6">
      <c r="A105" s="14" t="s">
        <v>452</v>
      </c>
      <c r="B105" s="14" t="s">
        <v>57</v>
      </c>
      <c r="C105" s="13">
        <v>128</v>
      </c>
      <c r="D105" s="14" t="s">
        <v>25</v>
      </c>
      <c r="E105" s="14"/>
      <c r="F105" s="14"/>
    </row>
    <row r="106" spans="1:6">
      <c r="A106" s="14" t="s">
        <v>443</v>
      </c>
      <c r="B106" s="14" t="s">
        <v>57</v>
      </c>
      <c r="C106" s="13">
        <v>128</v>
      </c>
      <c r="D106" s="14" t="s">
        <v>25</v>
      </c>
      <c r="E106" s="14"/>
      <c r="F106" s="14"/>
    </row>
    <row r="107" spans="1:6">
      <c r="A107" s="14" t="s">
        <v>446</v>
      </c>
      <c r="B107" s="14" t="s">
        <v>57</v>
      </c>
      <c r="C107" s="13">
        <v>128</v>
      </c>
      <c r="D107" s="14" t="s">
        <v>25</v>
      </c>
      <c r="E107" s="14"/>
      <c r="F107" s="14"/>
    </row>
    <row r="108" spans="1:6">
      <c r="A108" s="14" t="s">
        <v>453</v>
      </c>
      <c r="B108" s="14" t="s">
        <v>57</v>
      </c>
      <c r="C108" s="13">
        <v>128</v>
      </c>
      <c r="D108" s="14" t="s">
        <v>25</v>
      </c>
      <c r="E108" s="14"/>
      <c r="F108" s="14"/>
    </row>
    <row r="109" spans="1:6">
      <c r="A109" s="14" t="s">
        <v>445</v>
      </c>
      <c r="B109" s="14" t="s">
        <v>57</v>
      </c>
      <c r="C109" s="13">
        <v>128</v>
      </c>
      <c r="D109" s="14" t="s">
        <v>25</v>
      </c>
      <c r="E109" s="14"/>
      <c r="F109" s="14"/>
    </row>
    <row r="110" spans="1:6">
      <c r="A110" s="14" t="s">
        <v>447</v>
      </c>
      <c r="B110" s="14" t="s">
        <v>57</v>
      </c>
      <c r="C110" s="13">
        <v>128</v>
      </c>
      <c r="D110" s="14" t="s">
        <v>25</v>
      </c>
      <c r="E110" s="14"/>
      <c r="F110" s="14"/>
    </row>
    <row r="111" spans="1:6">
      <c r="A111" s="14" t="s">
        <v>444</v>
      </c>
      <c r="B111" s="14" t="s">
        <v>57</v>
      </c>
      <c r="C111" s="13">
        <v>128</v>
      </c>
      <c r="D111" s="14" t="s">
        <v>25</v>
      </c>
      <c r="E111" s="14"/>
      <c r="F111" s="14"/>
    </row>
    <row r="112" spans="1:6">
      <c r="A112" s="14" t="s">
        <v>454</v>
      </c>
      <c r="B112" s="14" t="s">
        <v>57</v>
      </c>
      <c r="C112" s="13">
        <v>128</v>
      </c>
      <c r="D112" s="14" t="s">
        <v>25</v>
      </c>
      <c r="E112" s="14"/>
      <c r="F112" s="14"/>
    </row>
    <row r="113" spans="1:6">
      <c r="A113" s="14" t="s">
        <v>455</v>
      </c>
      <c r="B113" s="14" t="s">
        <v>57</v>
      </c>
      <c r="C113" s="13">
        <v>128</v>
      </c>
      <c r="D113" s="14" t="s">
        <v>25</v>
      </c>
      <c r="E113" s="14"/>
      <c r="F113" s="14"/>
    </row>
    <row r="114" spans="1:6">
      <c r="A114" s="14" t="s">
        <v>76</v>
      </c>
      <c r="B114" s="14" t="s">
        <v>57</v>
      </c>
      <c r="C114" s="13">
        <v>128</v>
      </c>
      <c r="D114" s="14" t="s">
        <v>25</v>
      </c>
      <c r="E114" s="14"/>
      <c r="F114" s="14"/>
    </row>
    <row r="115" spans="1:6">
      <c r="A115" s="14" t="s">
        <v>448</v>
      </c>
      <c r="B115" s="14" t="s">
        <v>57</v>
      </c>
      <c r="C115" s="13">
        <v>128</v>
      </c>
      <c r="D115" s="14" t="s">
        <v>25</v>
      </c>
      <c r="E115" s="14"/>
      <c r="F115" s="14"/>
    </row>
    <row r="116" spans="1:6">
      <c r="A116" s="14" t="s">
        <v>449</v>
      </c>
      <c r="B116" s="14" t="s">
        <v>57</v>
      </c>
      <c r="C116" s="13">
        <v>128</v>
      </c>
      <c r="D116" s="14" t="s">
        <v>25</v>
      </c>
      <c r="E116" s="14"/>
      <c r="F116" s="14"/>
    </row>
    <row r="117" spans="1:6">
      <c r="A117" s="14" t="s">
        <v>456</v>
      </c>
      <c r="B117" s="14" t="s">
        <v>57</v>
      </c>
      <c r="C117" s="13">
        <v>128</v>
      </c>
      <c r="D117" s="14" t="s">
        <v>25</v>
      </c>
      <c r="E117" s="14"/>
      <c r="F117" s="14"/>
    </row>
    <row r="118" spans="1:6">
      <c r="A118" s="14" t="s">
        <v>77</v>
      </c>
      <c r="B118" s="14" t="s">
        <v>57</v>
      </c>
      <c r="C118" s="13">
        <v>128</v>
      </c>
      <c r="D118" s="14" t="s">
        <v>25</v>
      </c>
      <c r="E118" s="14"/>
      <c r="F118" s="14"/>
    </row>
    <row r="119" spans="1:6">
      <c r="A119" s="14" t="s">
        <v>450</v>
      </c>
      <c r="B119" s="14" t="s">
        <v>57</v>
      </c>
      <c r="C119" s="13">
        <v>128</v>
      </c>
      <c r="D119" s="14" t="s">
        <v>25</v>
      </c>
      <c r="E119" s="14"/>
      <c r="F119" s="14"/>
    </row>
    <row r="120" spans="1:6">
      <c r="A120" s="14" t="s">
        <v>457</v>
      </c>
      <c r="B120" s="14" t="s">
        <v>57</v>
      </c>
      <c r="C120" s="13">
        <v>128</v>
      </c>
      <c r="D120" s="14" t="s">
        <v>25</v>
      </c>
      <c r="E120" s="14"/>
      <c r="F120" s="14"/>
    </row>
    <row r="121" spans="1:6">
      <c r="A121" s="14"/>
      <c r="B121" s="14"/>
      <c r="C121" s="14"/>
      <c r="D121" s="14"/>
      <c r="E121" s="14"/>
      <c r="F121" s="14"/>
    </row>
    <row r="122" spans="1:6">
      <c r="A122" s="14"/>
      <c r="B122" s="14"/>
      <c r="C122" s="14"/>
      <c r="D122" s="14"/>
      <c r="E122" s="14"/>
      <c r="F122" s="14"/>
    </row>
    <row r="123" spans="1:6">
      <c r="A123" s="14"/>
      <c r="B123" s="14"/>
      <c r="C123" s="14"/>
      <c r="D123" s="14"/>
      <c r="E123" s="14"/>
      <c r="F123" s="14"/>
    </row>
    <row r="124" spans="1:6">
      <c r="A124" s="14"/>
      <c r="B124" s="14"/>
      <c r="C124" s="14"/>
      <c r="D124" s="14"/>
      <c r="E124" s="14"/>
      <c r="F124" s="14"/>
    </row>
    <row r="125" spans="1:6" ht="21">
      <c r="A125" s="945" t="s">
        <v>532</v>
      </c>
      <c r="B125" s="945"/>
      <c r="C125" s="945"/>
      <c r="D125" s="945"/>
      <c r="E125" s="14"/>
      <c r="F125" s="14"/>
    </row>
    <row r="126" spans="1:6" ht="15.75">
      <c r="A126" s="12" t="s">
        <v>13</v>
      </c>
      <c r="B126" s="14"/>
      <c r="C126" s="13">
        <v>1</v>
      </c>
      <c r="D126" s="14" t="s">
        <v>13</v>
      </c>
      <c r="E126" s="14"/>
      <c r="F126" s="14"/>
    </row>
    <row r="127" spans="1:6">
      <c r="A127" s="14" t="s">
        <v>171</v>
      </c>
      <c r="B127" s="14" t="s">
        <v>54</v>
      </c>
      <c r="C127" s="13">
        <v>8</v>
      </c>
      <c r="D127" s="14" t="s">
        <v>55</v>
      </c>
      <c r="E127" s="14"/>
      <c r="F127" s="14"/>
    </row>
    <row r="128" spans="1:6">
      <c r="A128" s="14" t="s">
        <v>172</v>
      </c>
      <c r="B128" s="14" t="s">
        <v>57</v>
      </c>
      <c r="C128" s="13">
        <v>1</v>
      </c>
      <c r="D128" s="14" t="s">
        <v>55</v>
      </c>
      <c r="E128" s="14"/>
      <c r="F128" s="14"/>
    </row>
    <row r="129" spans="1:6">
      <c r="A129" s="14" t="s">
        <v>173</v>
      </c>
      <c r="B129" s="14" t="s">
        <v>60</v>
      </c>
      <c r="C129" s="13">
        <v>1</v>
      </c>
      <c r="D129" s="14" t="s">
        <v>30</v>
      </c>
      <c r="E129" s="14"/>
      <c r="F129" s="14"/>
    </row>
    <row r="130" spans="1:6">
      <c r="A130" s="14" t="s">
        <v>174</v>
      </c>
      <c r="B130" s="14" t="s">
        <v>52</v>
      </c>
      <c r="C130" s="13">
        <v>4</v>
      </c>
      <c r="D130" s="14" t="s">
        <v>55</v>
      </c>
      <c r="E130" s="14"/>
      <c r="F130" s="14"/>
    </row>
    <row r="131" spans="1:6">
      <c r="A131" s="14"/>
      <c r="B131" s="14"/>
      <c r="C131" s="14"/>
      <c r="D131" s="14"/>
      <c r="E131" s="14"/>
      <c r="F131" s="14"/>
    </row>
    <row r="132" spans="1:6">
      <c r="A132" s="14"/>
      <c r="B132" s="14"/>
      <c r="C132" s="14"/>
      <c r="D132" s="14"/>
      <c r="E132" s="14"/>
      <c r="F132" s="14"/>
    </row>
    <row r="133" spans="1:6" ht="15.75">
      <c r="A133" s="12" t="s">
        <v>13</v>
      </c>
      <c r="B133" s="14"/>
      <c r="C133" s="13">
        <v>1</v>
      </c>
      <c r="D133" s="14" t="s">
        <v>13</v>
      </c>
      <c r="E133" s="14"/>
      <c r="F133" s="14"/>
    </row>
    <row r="134" spans="1:6">
      <c r="A134" s="14" t="s">
        <v>496</v>
      </c>
      <c r="B134" s="14" t="s">
        <v>57</v>
      </c>
      <c r="C134" s="13">
        <v>1</v>
      </c>
      <c r="D134" s="14" t="s">
        <v>55</v>
      </c>
      <c r="E134" s="14"/>
      <c r="F134" s="14"/>
    </row>
    <row r="135" spans="1:6">
      <c r="A135" s="14" t="s">
        <v>497</v>
      </c>
      <c r="B135" s="14" t="s">
        <v>57</v>
      </c>
      <c r="C135" s="13">
        <v>1</v>
      </c>
      <c r="D135" s="14" t="s">
        <v>55</v>
      </c>
      <c r="E135" s="14"/>
      <c r="F135" s="14"/>
    </row>
    <row r="136" spans="1:6">
      <c r="A136" s="14" t="s">
        <v>498</v>
      </c>
      <c r="B136" s="14" t="s">
        <v>57</v>
      </c>
      <c r="C136" s="13">
        <v>1</v>
      </c>
      <c r="D136" s="14" t="s">
        <v>55</v>
      </c>
      <c r="E136" s="14"/>
      <c r="F136" s="14"/>
    </row>
    <row r="137" spans="1:6">
      <c r="A137" s="14" t="s">
        <v>499</v>
      </c>
      <c r="B137" s="14" t="s">
        <v>57</v>
      </c>
      <c r="C137" s="13">
        <v>1</v>
      </c>
      <c r="D137" s="14" t="s">
        <v>55</v>
      </c>
      <c r="E137" s="14"/>
      <c r="F137" s="14"/>
    </row>
    <row r="138" spans="1:6">
      <c r="A138" s="14" t="s">
        <v>500</v>
      </c>
      <c r="B138" s="14" t="s">
        <v>57</v>
      </c>
      <c r="C138" s="13">
        <v>1</v>
      </c>
      <c r="D138" s="14" t="s">
        <v>55</v>
      </c>
      <c r="E138" s="14"/>
      <c r="F138" s="14"/>
    </row>
    <row r="139" spans="1:6">
      <c r="A139" s="14" t="s">
        <v>501</v>
      </c>
      <c r="B139" s="14" t="s">
        <v>57</v>
      </c>
      <c r="C139" s="13">
        <v>1</v>
      </c>
      <c r="D139" s="14" t="s">
        <v>55</v>
      </c>
      <c r="E139" s="14"/>
      <c r="F139" s="14"/>
    </row>
    <row r="140" spans="1:6">
      <c r="A140" s="14" t="s">
        <v>502</v>
      </c>
      <c r="B140" s="14" t="s">
        <v>57</v>
      </c>
      <c r="C140" s="13">
        <v>1</v>
      </c>
      <c r="D140" s="14" t="s">
        <v>55</v>
      </c>
      <c r="E140" s="14"/>
      <c r="F140" s="14"/>
    </row>
    <row r="141" spans="1:6">
      <c r="A141" s="14" t="s">
        <v>503</v>
      </c>
      <c r="B141" s="14" t="s">
        <v>57</v>
      </c>
      <c r="C141" s="13">
        <v>1</v>
      </c>
      <c r="D141" s="14" t="s">
        <v>55</v>
      </c>
      <c r="E141" s="14"/>
      <c r="F141" s="14"/>
    </row>
    <row r="142" spans="1:6">
      <c r="A142" s="14" t="s">
        <v>504</v>
      </c>
      <c r="B142" s="14" t="s">
        <v>54</v>
      </c>
      <c r="C142" s="13">
        <v>8</v>
      </c>
      <c r="D142" s="14" t="s">
        <v>55</v>
      </c>
      <c r="E142" s="14"/>
      <c r="F142" s="14"/>
    </row>
    <row r="143" spans="1:6">
      <c r="A143" s="14" t="s">
        <v>505</v>
      </c>
      <c r="B143" s="14" t="s">
        <v>54</v>
      </c>
      <c r="C143" s="13">
        <v>8</v>
      </c>
      <c r="D143" s="14" t="s">
        <v>55</v>
      </c>
      <c r="E143" s="14"/>
      <c r="F143" s="14"/>
    </row>
    <row r="144" spans="1:6">
      <c r="A144" s="14" t="s">
        <v>506</v>
      </c>
      <c r="B144" s="14" t="s">
        <v>57</v>
      </c>
      <c r="C144" s="13">
        <v>1</v>
      </c>
      <c r="D144" s="14" t="s">
        <v>55</v>
      </c>
      <c r="E144" s="14"/>
      <c r="F144" s="14"/>
    </row>
    <row r="145" spans="1:6">
      <c r="A145" s="14" t="s">
        <v>507</v>
      </c>
      <c r="B145" s="14" t="s">
        <v>54</v>
      </c>
      <c r="C145" s="13">
        <v>8</v>
      </c>
      <c r="D145" s="14" t="s">
        <v>55</v>
      </c>
      <c r="E145" s="14"/>
      <c r="F145" s="14"/>
    </row>
    <row r="146" spans="1:6">
      <c r="A146" s="14" t="s">
        <v>508</v>
      </c>
      <c r="B146" s="14" t="s">
        <v>54</v>
      </c>
      <c r="C146" s="13">
        <v>8</v>
      </c>
      <c r="D146" s="14" t="s">
        <v>55</v>
      </c>
      <c r="E146" s="14"/>
      <c r="F146" s="14"/>
    </row>
    <row r="147" spans="1:6">
      <c r="A147" s="14" t="s">
        <v>530</v>
      </c>
      <c r="B147" s="14" t="s">
        <v>57</v>
      </c>
      <c r="C147" s="13">
        <v>1</v>
      </c>
      <c r="D147" s="14" t="s">
        <v>55</v>
      </c>
      <c r="E147" s="14"/>
      <c r="F147" s="14"/>
    </row>
    <row r="148" spans="1:6">
      <c r="A148" s="14" t="s">
        <v>509</v>
      </c>
      <c r="B148" s="14" t="s">
        <v>57</v>
      </c>
      <c r="C148" s="13">
        <v>1</v>
      </c>
      <c r="D148" s="14" t="s">
        <v>55</v>
      </c>
      <c r="E148" s="14"/>
      <c r="F148" s="14"/>
    </row>
    <row r="149" spans="1:6">
      <c r="A149" s="14" t="s">
        <v>510</v>
      </c>
      <c r="B149" s="14" t="s">
        <v>57</v>
      </c>
      <c r="C149" s="13">
        <v>1</v>
      </c>
      <c r="D149" s="14" t="s">
        <v>55</v>
      </c>
      <c r="E149" s="14"/>
      <c r="F149" s="14"/>
    </row>
    <row r="150" spans="1:6">
      <c r="A150" s="14" t="s">
        <v>511</v>
      </c>
      <c r="B150" s="14" t="s">
        <v>57</v>
      </c>
      <c r="C150" s="13">
        <v>1</v>
      </c>
      <c r="D150" s="14" t="s">
        <v>55</v>
      </c>
      <c r="E150" s="14"/>
      <c r="F150" s="14"/>
    </row>
    <row r="151" spans="1:6">
      <c r="A151" s="14" t="s">
        <v>494</v>
      </c>
      <c r="B151" s="14" t="s">
        <v>57</v>
      </c>
      <c r="C151" s="13">
        <v>1</v>
      </c>
      <c r="D151" s="14" t="s">
        <v>55</v>
      </c>
      <c r="E151" s="14"/>
      <c r="F151" s="14"/>
    </row>
    <row r="152" spans="1:6">
      <c r="A152" s="14" t="s">
        <v>495</v>
      </c>
      <c r="B152" s="14" t="s">
        <v>60</v>
      </c>
      <c r="C152" s="13">
        <v>1</v>
      </c>
      <c r="D152" s="14" t="s">
        <v>30</v>
      </c>
      <c r="E152" s="14"/>
      <c r="F152" s="14"/>
    </row>
    <row r="153" spans="1:6">
      <c r="A153" s="14" t="s">
        <v>512</v>
      </c>
      <c r="B153" s="14" t="s">
        <v>57</v>
      </c>
      <c r="C153" s="13">
        <v>1</v>
      </c>
      <c r="D153" s="14" t="s">
        <v>55</v>
      </c>
      <c r="E153" s="14"/>
      <c r="F153" s="14"/>
    </row>
    <row r="154" spans="1:6">
      <c r="A154" s="14" t="s">
        <v>513</v>
      </c>
      <c r="B154" s="14" t="s">
        <v>57</v>
      </c>
      <c r="C154" s="13">
        <v>1</v>
      </c>
      <c r="D154" s="14" t="s">
        <v>55</v>
      </c>
      <c r="E154" s="14"/>
      <c r="F154" s="14"/>
    </row>
    <row r="155" spans="1:6">
      <c r="A155" s="14" t="s">
        <v>514</v>
      </c>
      <c r="B155" s="14" t="s">
        <v>57</v>
      </c>
      <c r="C155" s="13">
        <v>1</v>
      </c>
      <c r="D155" s="14" t="s">
        <v>55</v>
      </c>
      <c r="E155" s="14"/>
      <c r="F155" s="14"/>
    </row>
    <row r="156" spans="1:6">
      <c r="A156" s="14" t="s">
        <v>525</v>
      </c>
      <c r="B156" s="14" t="s">
        <v>54</v>
      </c>
      <c r="C156" s="13">
        <v>8</v>
      </c>
      <c r="D156" s="14" t="s">
        <v>55</v>
      </c>
      <c r="E156" s="14"/>
      <c r="F156" s="14"/>
    </row>
    <row r="157" spans="1:6">
      <c r="A157" s="14" t="s">
        <v>560</v>
      </c>
      <c r="B157" s="14" t="s">
        <v>57</v>
      </c>
      <c r="C157" s="13">
        <v>1</v>
      </c>
      <c r="D157" s="14" t="s">
        <v>55</v>
      </c>
      <c r="E157" s="14"/>
      <c r="F157" s="14"/>
    </row>
    <row r="158" spans="1:6">
      <c r="A158" s="14" t="s">
        <v>515</v>
      </c>
      <c r="B158" s="14" t="s">
        <v>54</v>
      </c>
      <c r="C158" s="13">
        <v>8</v>
      </c>
      <c r="D158" s="14" t="s">
        <v>55</v>
      </c>
      <c r="E158" s="14"/>
      <c r="F158" s="14"/>
    </row>
    <row r="159" spans="1:6">
      <c r="A159" s="14" t="s">
        <v>516</v>
      </c>
      <c r="B159" s="14" t="s">
        <v>60</v>
      </c>
      <c r="C159" s="13">
        <v>1</v>
      </c>
      <c r="D159" s="14" t="s">
        <v>30</v>
      </c>
      <c r="E159" s="14"/>
      <c r="F159" s="14"/>
    </row>
    <row r="160" spans="1:6">
      <c r="A160" s="14" t="s">
        <v>517</v>
      </c>
      <c r="B160" s="14" t="s">
        <v>60</v>
      </c>
      <c r="C160" s="13">
        <v>1</v>
      </c>
      <c r="D160" s="14" t="s">
        <v>30</v>
      </c>
      <c r="E160" s="14"/>
      <c r="F160" s="14"/>
    </row>
    <row r="161" spans="1:6">
      <c r="A161" s="14" t="s">
        <v>518</v>
      </c>
      <c r="B161" s="14" t="s">
        <v>60</v>
      </c>
      <c r="C161" s="13">
        <v>1</v>
      </c>
      <c r="D161" s="14" t="s">
        <v>30</v>
      </c>
      <c r="E161" s="14"/>
      <c r="F161" s="14"/>
    </row>
    <row r="162" spans="1:6">
      <c r="A162" s="14" t="s">
        <v>519</v>
      </c>
      <c r="B162" s="14" t="s">
        <v>54</v>
      </c>
      <c r="C162" s="13">
        <v>8</v>
      </c>
      <c r="D162" s="14" t="s">
        <v>55</v>
      </c>
      <c r="E162" s="14"/>
      <c r="F162" s="14"/>
    </row>
    <row r="163" spans="1:6">
      <c r="A163" s="14" t="s">
        <v>520</v>
      </c>
      <c r="B163" s="14" t="s">
        <v>57</v>
      </c>
      <c r="C163" s="13">
        <v>1</v>
      </c>
      <c r="D163" s="14" t="s">
        <v>55</v>
      </c>
      <c r="E163" s="14"/>
      <c r="F163" s="14"/>
    </row>
    <row r="164" spans="1:6">
      <c r="A164" s="14" t="s">
        <v>531</v>
      </c>
      <c r="B164" s="14" t="s">
        <v>57</v>
      </c>
      <c r="C164" s="13">
        <v>1</v>
      </c>
      <c r="D164" s="14" t="s">
        <v>55</v>
      </c>
      <c r="E164" s="14"/>
      <c r="F164" s="14"/>
    </row>
    <row r="165" spans="1:6">
      <c r="A165" s="14" t="s">
        <v>522</v>
      </c>
      <c r="B165" s="14" t="s">
        <v>57</v>
      </c>
      <c r="C165" s="13">
        <v>1</v>
      </c>
      <c r="D165" s="14" t="s">
        <v>55</v>
      </c>
      <c r="E165" s="14"/>
      <c r="F165" s="14"/>
    </row>
    <row r="166" spans="1:6">
      <c r="A166" s="14" t="s">
        <v>523</v>
      </c>
      <c r="B166" s="14" t="s">
        <v>57</v>
      </c>
      <c r="C166" s="13">
        <v>1</v>
      </c>
      <c r="D166" s="14" t="s">
        <v>55</v>
      </c>
      <c r="E166" s="14"/>
      <c r="F166" s="14"/>
    </row>
    <row r="167" spans="1:6">
      <c r="A167" s="14" t="s">
        <v>524</v>
      </c>
      <c r="B167" s="14" t="s">
        <v>52</v>
      </c>
      <c r="C167" s="13">
        <v>4</v>
      </c>
      <c r="D167" s="14" t="s">
        <v>55</v>
      </c>
      <c r="E167" s="14"/>
      <c r="F167" s="14"/>
    </row>
    <row r="168" spans="1:6">
      <c r="A168" s="14" t="s">
        <v>526</v>
      </c>
      <c r="B168" s="14" t="s">
        <v>60</v>
      </c>
      <c r="C168" s="13">
        <v>1</v>
      </c>
      <c r="D168" s="14" t="s">
        <v>30</v>
      </c>
      <c r="E168" s="14"/>
      <c r="F168" s="14"/>
    </row>
    <row r="169" spans="1:6">
      <c r="A169" s="14" t="s">
        <v>527</v>
      </c>
      <c r="B169" s="14" t="s">
        <v>57</v>
      </c>
      <c r="C169" s="13">
        <v>1</v>
      </c>
      <c r="D169" s="14" t="s">
        <v>55</v>
      </c>
      <c r="E169" s="14"/>
      <c r="F169" s="14"/>
    </row>
    <row r="170" spans="1:6">
      <c r="A170" s="14" t="s">
        <v>528</v>
      </c>
      <c r="B170" s="14" t="s">
        <v>57</v>
      </c>
      <c r="C170" s="13">
        <v>1</v>
      </c>
      <c r="D170" s="14" t="s">
        <v>55</v>
      </c>
      <c r="E170" s="14"/>
      <c r="F170" s="14"/>
    </row>
    <row r="171" spans="1:6">
      <c r="A171" s="14" t="s">
        <v>529</v>
      </c>
      <c r="B171" s="14" t="s">
        <v>57</v>
      </c>
      <c r="C171" s="13">
        <v>1</v>
      </c>
      <c r="D171" s="14" t="s">
        <v>55</v>
      </c>
      <c r="E171" s="14"/>
      <c r="F171" s="14"/>
    </row>
    <row r="174" spans="1:6">
      <c r="A174" s="288" t="s">
        <v>533</v>
      </c>
    </row>
    <row r="176" spans="1:6">
      <c r="A176" s="288" t="s">
        <v>671</v>
      </c>
    </row>
  </sheetData>
  <sortState xmlns:xlrd2="http://schemas.microsoft.com/office/spreadsheetml/2017/richdata2" ref="A5:F50">
    <sortCondition ref="A50"/>
  </sortState>
  <mergeCells count="3">
    <mergeCell ref="A2:F2"/>
    <mergeCell ref="A102:D102"/>
    <mergeCell ref="A125:D125"/>
  </mergeCells>
  <hyperlinks>
    <hyperlink ref="A174" r:id="rId1" xr:uid="{F15C957E-DA3B-4012-802E-614A102C57E9}"/>
    <hyperlink ref="A176" r:id="rId2" xr:uid="{0FDDF449-FBCA-4A88-8DEE-CC335DE982D2}"/>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1E94A-7FE8-4642-9EA6-571E7504F609}">
  <sheetPr codeName="Sheet18"/>
  <dimension ref="A1:F72"/>
  <sheetViews>
    <sheetView workbookViewId="0">
      <selection activeCell="E55" sqref="E55"/>
    </sheetView>
  </sheetViews>
  <sheetFormatPr defaultRowHeight="15"/>
  <cols>
    <col min="1" max="1" width="30.85546875" bestFit="1" customWidth="1"/>
    <col min="2" max="2" width="8.7109375" bestFit="1" customWidth="1"/>
    <col min="4" max="4" width="11.140625" bestFit="1" customWidth="1"/>
    <col min="5" max="5" width="7" bestFit="1" customWidth="1"/>
    <col min="6" max="6" width="12.85546875" bestFit="1" customWidth="1"/>
  </cols>
  <sheetData>
    <row r="1" spans="1:6">
      <c r="A1" s="16">
        <v>1</v>
      </c>
      <c r="B1" s="16">
        <v>2</v>
      </c>
      <c r="C1" s="16">
        <v>3</v>
      </c>
      <c r="D1" s="16">
        <v>4</v>
      </c>
      <c r="E1" s="16">
        <v>5</v>
      </c>
      <c r="F1" s="10" t="s">
        <v>266</v>
      </c>
    </row>
    <row r="2" spans="1:6" ht="18.75">
      <c r="A2" s="939" t="s">
        <v>392</v>
      </c>
      <c r="B2" s="939"/>
      <c r="C2" s="939"/>
      <c r="D2" s="939"/>
      <c r="E2" s="939"/>
      <c r="F2" s="939"/>
    </row>
    <row r="3" spans="1:6">
      <c r="A3" s="14" t="s">
        <v>48</v>
      </c>
      <c r="B3" s="14" t="s">
        <v>51</v>
      </c>
      <c r="C3" s="14" t="s">
        <v>50</v>
      </c>
      <c r="D3" s="14" t="s">
        <v>49</v>
      </c>
      <c r="E3" s="14" t="s">
        <v>228</v>
      </c>
      <c r="F3" s="10" t="s">
        <v>229</v>
      </c>
    </row>
    <row r="4" spans="1:6">
      <c r="A4" s="14" t="s">
        <v>13</v>
      </c>
      <c r="B4" s="14"/>
      <c r="C4" s="14">
        <v>1</v>
      </c>
      <c r="D4" s="14" t="s">
        <v>13</v>
      </c>
      <c r="E4" s="14" t="s">
        <v>13</v>
      </c>
      <c r="F4" s="10"/>
    </row>
    <row r="5" spans="1:6">
      <c r="A5" s="14" t="s">
        <v>370</v>
      </c>
      <c r="B5" s="14" t="s">
        <v>54</v>
      </c>
      <c r="C5" s="13">
        <v>8</v>
      </c>
      <c r="D5" s="14" t="s">
        <v>55</v>
      </c>
      <c r="E5" s="14"/>
      <c r="F5" s="10">
        <v>4</v>
      </c>
    </row>
    <row r="6" spans="1:6">
      <c r="A6" s="14" t="s">
        <v>371</v>
      </c>
      <c r="B6" s="14" t="s">
        <v>54</v>
      </c>
      <c r="C6" s="13">
        <v>8</v>
      </c>
      <c r="D6" s="14" t="s">
        <v>55</v>
      </c>
      <c r="E6" s="14"/>
      <c r="F6" s="10" t="s">
        <v>264</v>
      </c>
    </row>
    <row r="7" spans="1:6">
      <c r="A7" s="14" t="s">
        <v>372</v>
      </c>
      <c r="B7" s="14" t="s">
        <v>57</v>
      </c>
      <c r="C7" s="13">
        <v>16</v>
      </c>
      <c r="D7" s="14" t="s">
        <v>30</v>
      </c>
      <c r="E7" s="14"/>
      <c r="F7" s="10" t="s">
        <v>242</v>
      </c>
    </row>
    <row r="8" spans="1:6">
      <c r="A8" s="14" t="s">
        <v>373</v>
      </c>
      <c r="B8" s="14" t="s">
        <v>57</v>
      </c>
      <c r="C8" s="13">
        <v>128</v>
      </c>
      <c r="D8" s="14" t="s">
        <v>55</v>
      </c>
      <c r="E8" s="14"/>
      <c r="F8" s="10" t="s">
        <v>389</v>
      </c>
    </row>
    <row r="9" spans="1:6">
      <c r="A9" s="14" t="s">
        <v>207</v>
      </c>
      <c r="B9" s="14" t="s">
        <v>54</v>
      </c>
      <c r="C9" s="13">
        <v>8</v>
      </c>
      <c r="D9" s="14" t="s">
        <v>55</v>
      </c>
      <c r="E9" s="14"/>
      <c r="F9" s="10" t="s">
        <v>264</v>
      </c>
    </row>
    <row r="10" spans="1:6" ht="15.75">
      <c r="A10" s="12" t="s">
        <v>210</v>
      </c>
      <c r="B10" s="14" t="s">
        <v>54</v>
      </c>
      <c r="C10" s="13">
        <v>8</v>
      </c>
      <c r="D10" s="14" t="s">
        <v>55</v>
      </c>
      <c r="E10" s="14"/>
      <c r="F10" s="10">
        <v>6</v>
      </c>
    </row>
    <row r="11" spans="1:6">
      <c r="A11" s="14" t="s">
        <v>374</v>
      </c>
      <c r="B11" s="14" t="s">
        <v>54</v>
      </c>
      <c r="C11" s="13">
        <v>8</v>
      </c>
      <c r="D11" s="14" t="s">
        <v>55</v>
      </c>
      <c r="E11" s="14"/>
      <c r="F11" s="10" t="s">
        <v>390</v>
      </c>
    </row>
    <row r="12" spans="1:6">
      <c r="A12" s="14" t="s">
        <v>375</v>
      </c>
      <c r="B12" s="14" t="s">
        <v>57</v>
      </c>
      <c r="C12" s="13">
        <v>16</v>
      </c>
      <c r="D12" s="14" t="s">
        <v>30</v>
      </c>
      <c r="E12" s="14"/>
      <c r="F12" s="10" t="s">
        <v>250</v>
      </c>
    </row>
    <row r="13" spans="1:6">
      <c r="A13" s="14" t="s">
        <v>376</v>
      </c>
      <c r="B13" s="14" t="s">
        <v>57</v>
      </c>
      <c r="C13" s="13">
        <v>16</v>
      </c>
      <c r="D13" s="14" t="s">
        <v>30</v>
      </c>
      <c r="E13" s="14"/>
      <c r="F13" s="10" t="s">
        <v>250</v>
      </c>
    </row>
    <row r="14" spans="1:6">
      <c r="A14" s="14" t="s">
        <v>377</v>
      </c>
      <c r="B14" s="14" t="s">
        <v>57</v>
      </c>
      <c r="C14" s="13">
        <v>16</v>
      </c>
      <c r="D14" s="14" t="s">
        <v>30</v>
      </c>
      <c r="E14" s="14"/>
      <c r="F14" s="10" t="s">
        <v>242</v>
      </c>
    </row>
    <row r="15" spans="1:6">
      <c r="A15" s="14" t="s">
        <v>378</v>
      </c>
      <c r="B15" s="14" t="s">
        <v>57</v>
      </c>
      <c r="C15" s="13">
        <v>128</v>
      </c>
      <c r="D15" s="14" t="s">
        <v>55</v>
      </c>
      <c r="E15" s="14"/>
      <c r="F15" s="10" t="s">
        <v>391</v>
      </c>
    </row>
    <row r="16" spans="1:6">
      <c r="A16" s="14" t="s">
        <v>379</v>
      </c>
      <c r="B16" s="14" t="s">
        <v>54</v>
      </c>
      <c r="C16" s="13">
        <v>8</v>
      </c>
      <c r="D16" s="14" t="s">
        <v>55</v>
      </c>
      <c r="E16" s="14"/>
      <c r="F16" s="10" t="s">
        <v>264</v>
      </c>
    </row>
    <row r="17" spans="1:6">
      <c r="A17" s="14" t="s">
        <v>380</v>
      </c>
      <c r="B17" s="14" t="s">
        <v>57</v>
      </c>
      <c r="C17" s="13">
        <v>16</v>
      </c>
      <c r="D17" s="14" t="s">
        <v>30</v>
      </c>
      <c r="E17" s="14"/>
      <c r="F17" s="10" t="s">
        <v>242</v>
      </c>
    </row>
    <row r="18" spans="1:6">
      <c r="A18" s="14" t="s">
        <v>381</v>
      </c>
      <c r="B18" s="14" t="s">
        <v>57</v>
      </c>
      <c r="C18" s="13">
        <v>16</v>
      </c>
      <c r="D18" s="14" t="s">
        <v>30</v>
      </c>
      <c r="E18" s="14"/>
      <c r="F18" s="10" t="s">
        <v>250</v>
      </c>
    </row>
    <row r="19" spans="1:6">
      <c r="A19" s="14" t="s">
        <v>382</v>
      </c>
      <c r="B19" s="14" t="s">
        <v>57</v>
      </c>
      <c r="C19" s="13">
        <v>16</v>
      </c>
      <c r="D19" s="14" t="s">
        <v>30</v>
      </c>
      <c r="E19" s="14"/>
      <c r="F19" s="10" t="s">
        <v>250</v>
      </c>
    </row>
    <row r="20" spans="1:6">
      <c r="A20" s="14" t="s">
        <v>383</v>
      </c>
      <c r="B20" s="14" t="s">
        <v>57</v>
      </c>
      <c r="C20" s="13">
        <v>16</v>
      </c>
      <c r="D20" s="14" t="s">
        <v>30</v>
      </c>
      <c r="E20" s="14"/>
      <c r="F20" s="10" t="s">
        <v>250</v>
      </c>
    </row>
    <row r="21" spans="1:6">
      <c r="A21" s="14" t="s">
        <v>70</v>
      </c>
      <c r="B21" s="14" t="s">
        <v>54</v>
      </c>
      <c r="C21" s="13">
        <v>8</v>
      </c>
      <c r="D21" s="14" t="s">
        <v>55</v>
      </c>
      <c r="E21" s="14"/>
      <c r="F21" s="10" t="s">
        <v>249</v>
      </c>
    </row>
    <row r="22" spans="1:6">
      <c r="A22" s="14" t="s">
        <v>384</v>
      </c>
      <c r="B22" s="14" t="s">
        <v>54</v>
      </c>
      <c r="C22" s="13">
        <v>8</v>
      </c>
      <c r="D22" s="14" t="s">
        <v>55</v>
      </c>
      <c r="E22" s="14"/>
      <c r="F22" s="10" t="s">
        <v>389</v>
      </c>
    </row>
    <row r="23" spans="1:6">
      <c r="A23" s="14" t="s">
        <v>385</v>
      </c>
      <c r="B23" s="14" t="s">
        <v>57</v>
      </c>
      <c r="C23" s="13">
        <v>16</v>
      </c>
      <c r="D23" s="14" t="s">
        <v>30</v>
      </c>
      <c r="E23" s="14"/>
      <c r="F23" s="10" t="s">
        <v>238</v>
      </c>
    </row>
    <row r="24" spans="1:6">
      <c r="A24" s="14" t="s">
        <v>386</v>
      </c>
      <c r="B24" s="14" t="s">
        <v>54</v>
      </c>
      <c r="C24" s="13">
        <v>8</v>
      </c>
      <c r="D24" s="14" t="s">
        <v>55</v>
      </c>
      <c r="E24" s="14"/>
      <c r="F24" s="10" t="s">
        <v>264</v>
      </c>
    </row>
    <row r="25" spans="1:6">
      <c r="A25" s="14" t="s">
        <v>215</v>
      </c>
      <c r="B25" s="14" t="s">
        <v>54</v>
      </c>
      <c r="C25" s="13">
        <v>8</v>
      </c>
      <c r="D25" s="14" t="s">
        <v>55</v>
      </c>
      <c r="E25" s="14"/>
      <c r="F25" s="10" t="s">
        <v>264</v>
      </c>
    </row>
    <row r="26" spans="1:6">
      <c r="A26" s="14" t="s">
        <v>387</v>
      </c>
      <c r="B26" s="14" t="s">
        <v>57</v>
      </c>
      <c r="C26" s="13">
        <v>128</v>
      </c>
      <c r="D26" s="14" t="s">
        <v>55</v>
      </c>
      <c r="E26" s="14"/>
      <c r="F26" s="10" t="s">
        <v>391</v>
      </c>
    </row>
    <row r="27" spans="1:6">
      <c r="A27" s="14" t="s">
        <v>388</v>
      </c>
      <c r="B27" s="14" t="s">
        <v>54</v>
      </c>
      <c r="C27" s="13">
        <v>8</v>
      </c>
      <c r="D27" s="14" t="s">
        <v>55</v>
      </c>
      <c r="E27" s="14"/>
      <c r="F27" s="10" t="s">
        <v>390</v>
      </c>
    </row>
    <row r="28" spans="1:6">
      <c r="A28" s="14"/>
      <c r="B28" s="14"/>
      <c r="C28" s="14"/>
      <c r="D28" s="14"/>
      <c r="E28" s="14"/>
      <c r="F28" s="14"/>
    </row>
    <row r="29" spans="1:6">
      <c r="A29" s="14"/>
      <c r="B29" s="14"/>
      <c r="C29" s="14"/>
      <c r="D29" s="14"/>
      <c r="E29" s="14"/>
      <c r="F29" s="14"/>
    </row>
    <row r="30" spans="1:6" ht="21">
      <c r="A30" s="945" t="s">
        <v>458</v>
      </c>
      <c r="B30" s="945"/>
      <c r="C30" s="945"/>
      <c r="D30" s="945"/>
      <c r="E30" s="14"/>
      <c r="F30" s="14"/>
    </row>
    <row r="31" spans="1:6" ht="15.75">
      <c r="A31" s="12" t="s">
        <v>13</v>
      </c>
      <c r="B31" s="14"/>
      <c r="C31" s="13">
        <v>1</v>
      </c>
      <c r="D31" s="14" t="s">
        <v>13</v>
      </c>
      <c r="E31" s="14"/>
      <c r="F31" s="14"/>
    </row>
    <row r="32" spans="1:6">
      <c r="A32" s="14" t="s">
        <v>451</v>
      </c>
      <c r="B32" s="14" t="s">
        <v>57</v>
      </c>
      <c r="C32" s="13">
        <v>128</v>
      </c>
      <c r="D32" s="14" t="s">
        <v>25</v>
      </c>
      <c r="E32" s="14"/>
      <c r="F32" s="14"/>
    </row>
    <row r="33" spans="1:6">
      <c r="A33" s="14" t="s">
        <v>452</v>
      </c>
      <c r="B33" s="14" t="s">
        <v>57</v>
      </c>
      <c r="C33" s="13">
        <v>128</v>
      </c>
      <c r="D33" s="14" t="s">
        <v>25</v>
      </c>
      <c r="E33" s="14"/>
      <c r="F33" s="14"/>
    </row>
    <row r="34" spans="1:6">
      <c r="A34" s="14" t="s">
        <v>443</v>
      </c>
      <c r="B34" s="14" t="s">
        <v>57</v>
      </c>
      <c r="C34" s="13">
        <v>128</v>
      </c>
      <c r="D34" s="14" t="s">
        <v>25</v>
      </c>
      <c r="E34" s="14"/>
      <c r="F34" s="14"/>
    </row>
    <row r="35" spans="1:6">
      <c r="A35" s="14" t="s">
        <v>446</v>
      </c>
      <c r="B35" s="14" t="s">
        <v>57</v>
      </c>
      <c r="C35" s="13">
        <v>128</v>
      </c>
      <c r="D35" s="14" t="s">
        <v>25</v>
      </c>
      <c r="E35" s="14"/>
      <c r="F35" s="14"/>
    </row>
    <row r="36" spans="1:6">
      <c r="A36" s="14" t="s">
        <v>453</v>
      </c>
      <c r="B36" s="14" t="s">
        <v>57</v>
      </c>
      <c r="C36" s="13">
        <v>128</v>
      </c>
      <c r="D36" s="14" t="s">
        <v>25</v>
      </c>
      <c r="E36" s="14"/>
      <c r="F36" s="14"/>
    </row>
    <row r="37" spans="1:6">
      <c r="A37" s="14" t="s">
        <v>445</v>
      </c>
      <c r="B37" s="14" t="s">
        <v>57</v>
      </c>
      <c r="C37" s="13">
        <v>128</v>
      </c>
      <c r="D37" s="14" t="s">
        <v>25</v>
      </c>
      <c r="E37" s="14"/>
      <c r="F37" s="14"/>
    </row>
    <row r="38" spans="1:6">
      <c r="A38" s="14" t="s">
        <v>447</v>
      </c>
      <c r="B38" s="14" t="s">
        <v>57</v>
      </c>
      <c r="C38" s="13">
        <v>128</v>
      </c>
      <c r="D38" s="14" t="s">
        <v>25</v>
      </c>
      <c r="E38" s="14"/>
      <c r="F38" s="14"/>
    </row>
    <row r="39" spans="1:6">
      <c r="A39" s="14" t="s">
        <v>444</v>
      </c>
      <c r="B39" s="14" t="s">
        <v>57</v>
      </c>
      <c r="C39" s="13">
        <v>128</v>
      </c>
      <c r="D39" s="14" t="s">
        <v>25</v>
      </c>
      <c r="E39" s="14"/>
      <c r="F39" s="14"/>
    </row>
    <row r="40" spans="1:6">
      <c r="A40" s="14" t="s">
        <v>454</v>
      </c>
      <c r="B40" s="14" t="s">
        <v>57</v>
      </c>
      <c r="C40" s="13">
        <v>128</v>
      </c>
      <c r="D40" s="14" t="s">
        <v>25</v>
      </c>
      <c r="E40" s="14"/>
      <c r="F40" s="14"/>
    </row>
    <row r="41" spans="1:6">
      <c r="A41" s="14" t="s">
        <v>455</v>
      </c>
      <c r="B41" s="14" t="s">
        <v>57</v>
      </c>
      <c r="C41" s="13">
        <v>128</v>
      </c>
      <c r="D41" s="14" t="s">
        <v>25</v>
      </c>
      <c r="E41" s="14"/>
      <c r="F41" s="14"/>
    </row>
    <row r="42" spans="1:6">
      <c r="A42" s="14" t="s">
        <v>76</v>
      </c>
      <c r="B42" s="14" t="s">
        <v>57</v>
      </c>
      <c r="C42" s="13">
        <v>128</v>
      </c>
      <c r="D42" s="14" t="s">
        <v>25</v>
      </c>
      <c r="E42" s="14"/>
      <c r="F42" s="14"/>
    </row>
    <row r="43" spans="1:6">
      <c r="A43" s="14" t="s">
        <v>448</v>
      </c>
      <c r="B43" s="14" t="s">
        <v>57</v>
      </c>
      <c r="C43" s="13">
        <v>128</v>
      </c>
      <c r="D43" s="14" t="s">
        <v>25</v>
      </c>
      <c r="E43" s="14"/>
      <c r="F43" s="14"/>
    </row>
    <row r="44" spans="1:6">
      <c r="A44" s="14" t="s">
        <v>449</v>
      </c>
      <c r="B44" s="14" t="s">
        <v>57</v>
      </c>
      <c r="C44" s="13">
        <v>128</v>
      </c>
      <c r="D44" s="14" t="s">
        <v>25</v>
      </c>
      <c r="E44" s="14"/>
      <c r="F44" s="14"/>
    </row>
    <row r="45" spans="1:6">
      <c r="A45" s="14" t="s">
        <v>456</v>
      </c>
      <c r="B45" s="14" t="s">
        <v>57</v>
      </c>
      <c r="C45" s="13">
        <v>128</v>
      </c>
      <c r="D45" s="14" t="s">
        <v>25</v>
      </c>
      <c r="E45" s="14"/>
      <c r="F45" s="14"/>
    </row>
    <row r="46" spans="1:6">
      <c r="A46" s="14" t="s">
        <v>77</v>
      </c>
      <c r="B46" s="14" t="s">
        <v>57</v>
      </c>
      <c r="C46" s="13">
        <v>128</v>
      </c>
      <c r="D46" s="14" t="s">
        <v>25</v>
      </c>
      <c r="E46" s="14"/>
      <c r="F46" s="14"/>
    </row>
    <row r="47" spans="1:6">
      <c r="A47" s="14" t="s">
        <v>450</v>
      </c>
      <c r="B47" s="14" t="s">
        <v>57</v>
      </c>
      <c r="C47" s="13">
        <v>128</v>
      </c>
      <c r="D47" s="14" t="s">
        <v>25</v>
      </c>
      <c r="E47" s="14"/>
      <c r="F47" s="14"/>
    </row>
    <row r="48" spans="1:6">
      <c r="A48" s="14" t="s">
        <v>457</v>
      </c>
      <c r="B48" s="14" t="s">
        <v>57</v>
      </c>
      <c r="C48" s="13">
        <v>128</v>
      </c>
      <c r="D48" s="14" t="s">
        <v>25</v>
      </c>
      <c r="E48" s="14"/>
      <c r="F48" s="14"/>
    </row>
    <row r="49" spans="1:6">
      <c r="A49" s="14"/>
      <c r="B49" s="14"/>
      <c r="C49" s="14"/>
      <c r="D49" s="14"/>
      <c r="E49" s="14"/>
      <c r="F49" s="14"/>
    </row>
    <row r="50" spans="1:6">
      <c r="A50" s="14"/>
      <c r="B50" s="14"/>
      <c r="C50" s="14"/>
      <c r="D50" s="14"/>
      <c r="E50" s="14"/>
      <c r="F50" s="14"/>
    </row>
    <row r="51" spans="1:6">
      <c r="A51" s="14"/>
      <c r="B51" s="14"/>
      <c r="C51" s="14"/>
      <c r="D51" s="14"/>
      <c r="E51" s="14"/>
      <c r="F51" s="14"/>
    </row>
    <row r="52" spans="1:6">
      <c r="A52" s="14"/>
      <c r="B52" s="14"/>
      <c r="C52" s="14"/>
      <c r="D52" s="14"/>
      <c r="E52" s="14"/>
      <c r="F52" s="14"/>
    </row>
    <row r="53" spans="1:6" ht="21">
      <c r="A53" s="945" t="s">
        <v>170</v>
      </c>
      <c r="B53" s="945"/>
      <c r="C53" s="945"/>
      <c r="D53" s="945"/>
      <c r="E53" s="14"/>
      <c r="F53" s="14"/>
    </row>
    <row r="54" spans="1:6" ht="15.75">
      <c r="A54" s="12" t="s">
        <v>13</v>
      </c>
      <c r="B54" s="14"/>
      <c r="C54" s="13">
        <v>1</v>
      </c>
      <c r="D54" s="14" t="s">
        <v>13</v>
      </c>
      <c r="E54" s="14"/>
      <c r="F54" s="14"/>
    </row>
    <row r="55" spans="1:6">
      <c r="A55" s="14" t="s">
        <v>171</v>
      </c>
      <c r="B55" s="14" t="s">
        <v>54</v>
      </c>
      <c r="C55" s="13">
        <v>8</v>
      </c>
      <c r="D55" s="14" t="s">
        <v>55</v>
      </c>
      <c r="E55" s="14"/>
      <c r="F55" s="14"/>
    </row>
    <row r="56" spans="1:6">
      <c r="A56" s="14" t="s">
        <v>172</v>
      </c>
      <c r="B56" s="14" t="s">
        <v>57</v>
      </c>
      <c r="C56" s="13">
        <v>1</v>
      </c>
      <c r="D56" s="14" t="s">
        <v>55</v>
      </c>
      <c r="E56" s="14"/>
      <c r="F56" s="14"/>
    </row>
    <row r="57" spans="1:6">
      <c r="A57" s="14" t="s">
        <v>173</v>
      </c>
      <c r="B57" s="14" t="s">
        <v>60</v>
      </c>
      <c r="C57" s="13">
        <v>1</v>
      </c>
      <c r="D57" s="14" t="s">
        <v>30</v>
      </c>
      <c r="E57" s="14"/>
      <c r="F57" s="14"/>
    </row>
    <row r="58" spans="1:6">
      <c r="A58" s="14" t="s">
        <v>174</v>
      </c>
      <c r="B58" s="14" t="s">
        <v>52</v>
      </c>
      <c r="C58" s="13">
        <v>4</v>
      </c>
      <c r="D58" s="14" t="s">
        <v>55</v>
      </c>
      <c r="E58" s="14"/>
      <c r="F58" s="14"/>
    </row>
    <row r="59" spans="1:6">
      <c r="A59" s="14"/>
      <c r="B59" s="14"/>
      <c r="C59" s="14"/>
      <c r="D59" s="14"/>
      <c r="E59" s="14"/>
      <c r="F59" s="14"/>
    </row>
    <row r="60" spans="1:6">
      <c r="A60" s="14"/>
      <c r="B60" s="14"/>
      <c r="C60" s="14"/>
      <c r="D60" s="14"/>
      <c r="E60" s="14"/>
      <c r="F60" s="14"/>
    </row>
    <row r="61" spans="1:6" ht="15.75">
      <c r="A61" s="12" t="s">
        <v>13</v>
      </c>
      <c r="B61" s="14"/>
      <c r="C61" s="13">
        <v>1</v>
      </c>
      <c r="D61" s="14" t="s">
        <v>13</v>
      </c>
      <c r="E61" s="14"/>
      <c r="F61" s="14"/>
    </row>
    <row r="62" spans="1:6">
      <c r="A62" s="14" t="s">
        <v>500</v>
      </c>
      <c r="B62" s="14" t="s">
        <v>57</v>
      </c>
      <c r="C62" s="13">
        <v>1</v>
      </c>
      <c r="D62" s="14" t="s">
        <v>55</v>
      </c>
      <c r="E62" s="14"/>
      <c r="F62" s="14"/>
    </row>
    <row r="63" spans="1:6">
      <c r="A63" s="14" t="s">
        <v>534</v>
      </c>
      <c r="B63" s="14" t="s">
        <v>60</v>
      </c>
      <c r="C63" s="13">
        <v>5</v>
      </c>
      <c r="D63" s="14" t="s">
        <v>30</v>
      </c>
      <c r="E63" s="14"/>
      <c r="F63" s="14"/>
    </row>
    <row r="64" spans="1:6">
      <c r="A64" s="14" t="s">
        <v>535</v>
      </c>
      <c r="B64" s="14" t="s">
        <v>54</v>
      </c>
      <c r="C64" s="13">
        <v>8</v>
      </c>
      <c r="D64" s="14" t="s">
        <v>55</v>
      </c>
      <c r="E64" s="14"/>
      <c r="F64" s="14"/>
    </row>
    <row r="65" spans="1:6">
      <c r="A65" s="14" t="s">
        <v>495</v>
      </c>
      <c r="B65" s="14" t="s">
        <v>60</v>
      </c>
      <c r="C65" s="13">
        <v>1</v>
      </c>
      <c r="D65" s="14" t="s">
        <v>30</v>
      </c>
      <c r="E65" s="14"/>
      <c r="F65" s="14"/>
    </row>
    <row r="66" spans="1:6">
      <c r="A66" s="14" t="s">
        <v>494</v>
      </c>
      <c r="B66" s="14" t="s">
        <v>57</v>
      </c>
      <c r="C66" s="13">
        <v>1</v>
      </c>
      <c r="D66" s="14" t="s">
        <v>55</v>
      </c>
      <c r="E66" s="14"/>
      <c r="F66" s="14"/>
    </row>
    <row r="67" spans="1:6">
      <c r="A67" s="14" t="s">
        <v>537</v>
      </c>
      <c r="B67" s="14" t="s">
        <v>54</v>
      </c>
      <c r="C67" s="13">
        <v>8</v>
      </c>
      <c r="D67" s="14" t="s">
        <v>55</v>
      </c>
      <c r="E67" s="14"/>
      <c r="F67" s="14"/>
    </row>
    <row r="68" spans="1:6">
      <c r="A68" s="14" t="s">
        <v>560</v>
      </c>
      <c r="B68" s="14" t="s">
        <v>57</v>
      </c>
      <c r="C68" s="13">
        <v>1</v>
      </c>
      <c r="D68" s="14" t="s">
        <v>55</v>
      </c>
      <c r="E68" s="14"/>
      <c r="F68" s="14"/>
    </row>
    <row r="69" spans="1:6">
      <c r="A69" s="14" t="s">
        <v>556</v>
      </c>
      <c r="B69" s="14" t="s">
        <v>57</v>
      </c>
      <c r="C69" s="13">
        <v>1</v>
      </c>
      <c r="D69" s="14" t="s">
        <v>55</v>
      </c>
      <c r="E69" s="14"/>
      <c r="F69" s="14"/>
    </row>
    <row r="70" spans="1:6">
      <c r="A70" s="14" t="s">
        <v>524</v>
      </c>
      <c r="B70" s="14" t="s">
        <v>52</v>
      </c>
      <c r="C70" s="13">
        <v>4</v>
      </c>
      <c r="D70" s="14" t="s">
        <v>55</v>
      </c>
      <c r="E70" s="14"/>
      <c r="F70" s="14"/>
    </row>
    <row r="71" spans="1:6">
      <c r="A71" s="14" t="s">
        <v>528</v>
      </c>
      <c r="B71" s="14" t="s">
        <v>57</v>
      </c>
      <c r="C71" s="13">
        <v>1</v>
      </c>
      <c r="D71" s="14" t="s">
        <v>55</v>
      </c>
      <c r="E71" s="14"/>
      <c r="F71" s="14"/>
    </row>
    <row r="72" spans="1:6">
      <c r="A72" s="14" t="s">
        <v>529</v>
      </c>
      <c r="B72" s="14" t="s">
        <v>57</v>
      </c>
      <c r="C72" s="13">
        <v>1</v>
      </c>
      <c r="D72" s="14" t="s">
        <v>55</v>
      </c>
      <c r="E72" s="14"/>
      <c r="F72" s="14"/>
    </row>
  </sheetData>
  <mergeCells count="3">
    <mergeCell ref="A2:F2"/>
    <mergeCell ref="A30:D30"/>
    <mergeCell ref="A53:D5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6B0D-48FE-4009-AF4A-ADCAA4585366}">
  <sheetPr codeName="Sheet19"/>
  <dimension ref="A1:U41"/>
  <sheetViews>
    <sheetView workbookViewId="0">
      <selection activeCell="J41" sqref="J41"/>
    </sheetView>
  </sheetViews>
  <sheetFormatPr defaultColWidth="9.140625" defaultRowHeight="15"/>
  <cols>
    <col min="1" max="1" width="47.42578125" style="431" bestFit="1" customWidth="1"/>
    <col min="2" max="8" width="9.140625" style="427"/>
    <col min="9" max="9" width="15.7109375" style="427" bestFit="1" customWidth="1"/>
    <col min="10" max="10" width="9.85546875" style="427" bestFit="1" customWidth="1"/>
    <col min="11" max="17" width="9.140625" style="427"/>
    <col min="18" max="21" width="8.85546875" customWidth="1"/>
    <col min="22" max="16384" width="9.140625" style="427"/>
  </cols>
  <sheetData>
    <row r="1" spans="1:21">
      <c r="B1" s="427" t="s">
        <v>78</v>
      </c>
      <c r="C1" s="427" t="s">
        <v>137</v>
      </c>
      <c r="D1" s="427" t="s">
        <v>138</v>
      </c>
      <c r="J1" s="429" t="s">
        <v>78</v>
      </c>
      <c r="K1" s="427" t="s">
        <v>137</v>
      </c>
      <c r="L1" s="427" t="s">
        <v>138</v>
      </c>
      <c r="R1" s="427"/>
      <c r="S1" s="427"/>
      <c r="T1" s="427"/>
      <c r="U1" s="427"/>
    </row>
    <row r="2" spans="1:21" ht="15.75">
      <c r="A2" s="217" t="s">
        <v>98</v>
      </c>
      <c r="B2" s="430">
        <f>'Crop Budget (Main)'!C25</f>
        <v>99.480500000000006</v>
      </c>
      <c r="C2" s="430">
        <f>'Crop Budget (Main)'!G25</f>
        <v>58.370000000000005</v>
      </c>
      <c r="D2" s="430">
        <f>'Crop Budget (Main)'!K25</f>
        <v>32.405333333333331</v>
      </c>
      <c r="I2" s="427" t="s">
        <v>691</v>
      </c>
      <c r="J2" s="428">
        <f>'Crop Budget (Main)'!$C$54</f>
        <v>480.01088333333325</v>
      </c>
      <c r="K2" s="428">
        <f>'Crop Budget (Main)'!$G$54</f>
        <v>253.81395833333332</v>
      </c>
      <c r="L2" s="428">
        <f>'Crop Budget (Main)'!$K$54</f>
        <v>275.72241666666673</v>
      </c>
      <c r="R2" s="427"/>
      <c r="S2" s="427"/>
      <c r="T2" s="427"/>
      <c r="U2" s="427"/>
    </row>
    <row r="3" spans="1:21" ht="15.75">
      <c r="A3" s="217" t="s">
        <v>99</v>
      </c>
      <c r="B3" s="430">
        <f>'Crop Budget (Main)'!C26</f>
        <v>121.57204999999999</v>
      </c>
      <c r="C3" s="430">
        <f>'Crop Budget (Main)'!G26</f>
        <v>37.975000000000001</v>
      </c>
      <c r="D3" s="430">
        <f>'Crop Budget (Main)'!K26</f>
        <v>77.015000000000001</v>
      </c>
      <c r="I3" s="427" t="s">
        <v>692</v>
      </c>
      <c r="J3" s="428">
        <f>'Crop Budget (Main)'!$C$63</f>
        <v>196.39000000000001</v>
      </c>
      <c r="K3" s="428">
        <f>'Crop Budget (Main)'!$G$63</f>
        <v>189.05</v>
      </c>
      <c r="L3" s="428">
        <f>'Crop Budget (Main)'!$K$63</f>
        <v>148.52000000000001</v>
      </c>
      <c r="R3" s="427"/>
      <c r="S3" s="427"/>
      <c r="T3" s="427"/>
      <c r="U3" s="427"/>
    </row>
    <row r="4" spans="1:21" ht="15.75">
      <c r="A4" s="217" t="s">
        <v>433</v>
      </c>
      <c r="B4" s="430">
        <f>SUM(B5:B7)</f>
        <v>51.435000000000002</v>
      </c>
      <c r="C4" s="430">
        <f t="shared" ref="C4:D4" si="0">SUM(C5:C7)</f>
        <v>36.485624999999999</v>
      </c>
      <c r="D4" s="430">
        <f t="shared" si="0"/>
        <v>45.46875</v>
      </c>
      <c r="I4" s="427" t="s">
        <v>693</v>
      </c>
      <c r="J4" s="428">
        <f>'Crop Budget (Main)'!$C$64</f>
        <v>676.40088333333324</v>
      </c>
      <c r="K4" s="428">
        <f>'Crop Budget (Main)'!$G$64</f>
        <v>442.86395833333336</v>
      </c>
      <c r="L4" s="428">
        <f>'Crop Budget (Main)'!$K$64</f>
        <v>424.24241666666671</v>
      </c>
      <c r="R4" s="427"/>
      <c r="S4" s="427"/>
      <c r="T4" s="427"/>
      <c r="U4" s="427"/>
    </row>
    <row r="5" spans="1:21" ht="15.75" hidden="1">
      <c r="A5" s="432" t="s">
        <v>436</v>
      </c>
      <c r="B5" s="430">
        <f>'Crop Budget (Main)'!C28</f>
        <v>36.36</v>
      </c>
      <c r="C5" s="430">
        <f>'Crop Budget (Main)'!G28</f>
        <v>36.485624999999999</v>
      </c>
      <c r="D5" s="430">
        <f>'Crop Budget (Main)'!K28</f>
        <v>25.546875</v>
      </c>
      <c r="R5" s="427"/>
      <c r="S5" s="427"/>
      <c r="T5" s="427"/>
      <c r="U5" s="427"/>
    </row>
    <row r="6" spans="1:21" ht="15.75" hidden="1">
      <c r="A6" s="432" t="s">
        <v>130</v>
      </c>
      <c r="B6" s="430">
        <f>'Crop Budget (Main)'!C29</f>
        <v>15.075000000000001</v>
      </c>
      <c r="C6" s="430">
        <f>'Crop Budget (Main)'!G29</f>
        <v>0</v>
      </c>
      <c r="D6" s="430">
        <f>'Crop Budget (Main)'!K29</f>
        <v>19.921875</v>
      </c>
      <c r="R6" s="427"/>
      <c r="S6" s="427"/>
      <c r="T6" s="427"/>
      <c r="U6" s="427"/>
    </row>
    <row r="7" spans="1:21" ht="15.75" hidden="1">
      <c r="A7" s="432" t="s">
        <v>170</v>
      </c>
      <c r="B7" s="430">
        <f>'Crop Budget (Main)'!C30</f>
        <v>0</v>
      </c>
      <c r="C7" s="430">
        <f>'Crop Budget (Main)'!G30</f>
        <v>0</v>
      </c>
      <c r="D7" s="430">
        <f>'Crop Budget (Main)'!K30</f>
        <v>0</v>
      </c>
      <c r="R7" s="427"/>
      <c r="S7" s="427"/>
      <c r="T7" s="427"/>
      <c r="U7" s="427"/>
    </row>
    <row r="8" spans="1:21" ht="15.75">
      <c r="A8" s="217" t="s">
        <v>103</v>
      </c>
      <c r="B8" s="430">
        <f>'Crop Budget (Main)'!C31</f>
        <v>12.13</v>
      </c>
      <c r="C8" s="430">
        <f>'Crop Budget (Main)'!G31</f>
        <v>12.29</v>
      </c>
      <c r="D8" s="430">
        <f>'Crop Budget (Main)'!K31</f>
        <v>13.8</v>
      </c>
      <c r="R8" s="427"/>
      <c r="S8" s="427"/>
      <c r="T8" s="427"/>
      <c r="U8" s="427"/>
    </row>
    <row r="9" spans="1:21" ht="15.75">
      <c r="A9" s="217" t="s">
        <v>429</v>
      </c>
      <c r="B9" s="430">
        <f>'Crop Budget (Main)'!C32</f>
        <v>3.92</v>
      </c>
      <c r="C9" s="430">
        <f>'Crop Budget (Main)'!G32</f>
        <v>3.07</v>
      </c>
      <c r="D9" s="430">
        <f>'Crop Budget (Main)'!K32</f>
        <v>0</v>
      </c>
      <c r="R9" s="427"/>
      <c r="S9" s="427"/>
      <c r="T9" s="427"/>
      <c r="U9" s="427"/>
    </row>
    <row r="10" spans="1:21" ht="15.75">
      <c r="A10" s="217" t="s">
        <v>109</v>
      </c>
      <c r="B10" s="430">
        <f>'Crop Budget (Main)'!C33</f>
        <v>0</v>
      </c>
      <c r="C10" s="430">
        <f>'Crop Budget (Main)'!G33</f>
        <v>0</v>
      </c>
      <c r="D10" s="430">
        <f>'Crop Budget (Main)'!K33</f>
        <v>0</v>
      </c>
      <c r="J10" s="429"/>
      <c r="R10" s="427"/>
      <c r="S10" s="427"/>
      <c r="T10" s="427"/>
      <c r="U10" s="427"/>
    </row>
    <row r="11" spans="1:21" ht="15.75">
      <c r="A11" s="217" t="s">
        <v>105</v>
      </c>
      <c r="B11" s="430">
        <f>SUM(B12:B13)</f>
        <v>48.91</v>
      </c>
      <c r="C11" s="430">
        <f t="shared" ref="C11:D11" si="1">SUM(C12:C13)</f>
        <v>19.34</v>
      </c>
      <c r="D11" s="430">
        <f t="shared" si="1"/>
        <v>17.45</v>
      </c>
      <c r="J11" s="428"/>
      <c r="K11" s="428"/>
      <c r="L11" s="428"/>
      <c r="R11" s="427"/>
      <c r="S11" s="427"/>
      <c r="T11" s="427"/>
      <c r="U11" s="427"/>
    </row>
    <row r="12" spans="1:21" hidden="1">
      <c r="A12" s="433" t="s">
        <v>106</v>
      </c>
      <c r="B12" s="430">
        <f>'Crop Budget (Main)'!C35</f>
        <v>31.25</v>
      </c>
      <c r="C12" s="430">
        <f>'Crop Budget (Main)'!G35</f>
        <v>17.809999999999999</v>
      </c>
      <c r="D12" s="430">
        <f>'Crop Budget (Main)'!K35</f>
        <v>16.43</v>
      </c>
      <c r="J12" s="428"/>
      <c r="K12" s="428"/>
      <c r="L12" s="428"/>
      <c r="R12" s="427"/>
      <c r="S12" s="427"/>
      <c r="T12" s="427"/>
      <c r="U12" s="427"/>
    </row>
    <row r="13" spans="1:21" hidden="1">
      <c r="A13" s="433" t="s">
        <v>107</v>
      </c>
      <c r="B13" s="430">
        <f>'Crop Budget (Main)'!C36</f>
        <v>17.66</v>
      </c>
      <c r="C13" s="430">
        <f>'Crop Budget (Main)'!G36</f>
        <v>1.53</v>
      </c>
      <c r="D13" s="430">
        <f>'Crop Budget (Main)'!K36</f>
        <v>1.02</v>
      </c>
      <c r="R13" s="427"/>
      <c r="S13" s="427"/>
      <c r="T13" s="427"/>
      <c r="U13" s="427"/>
    </row>
    <row r="14" spans="1:21" ht="15.75">
      <c r="A14" s="217" t="s">
        <v>108</v>
      </c>
      <c r="B14" s="430">
        <f>SUM(B15:B16)</f>
        <v>64.84</v>
      </c>
      <c r="C14" s="430">
        <f t="shared" ref="C14:D14" si="2">SUM(C15:C16)</f>
        <v>32.450000000000003</v>
      </c>
      <c r="D14" s="430">
        <f t="shared" si="2"/>
        <v>26.91</v>
      </c>
      <c r="R14" s="427"/>
      <c r="S14" s="427"/>
      <c r="T14" s="427"/>
      <c r="U14" s="427"/>
    </row>
    <row r="15" spans="1:21" hidden="1">
      <c r="A15" s="434" t="s">
        <v>430</v>
      </c>
      <c r="B15" s="430">
        <f>'Crop Budget (Main)'!C38</f>
        <v>63.77</v>
      </c>
      <c r="C15" s="430">
        <f>'Crop Budget (Main)'!G38</f>
        <v>32.450000000000003</v>
      </c>
      <c r="D15" s="430">
        <f>'Crop Budget (Main)'!K38</f>
        <v>26.91</v>
      </c>
      <c r="R15" s="427"/>
      <c r="S15" s="427"/>
      <c r="T15" s="427"/>
      <c r="U15" s="427"/>
    </row>
    <row r="16" spans="1:21" hidden="1">
      <c r="A16" s="434" t="s">
        <v>431</v>
      </c>
      <c r="B16" s="430">
        <f>'Crop Budget (Main)'!C39</f>
        <v>1.07</v>
      </c>
      <c r="C16" s="430">
        <f>'Crop Budget (Main)'!G39</f>
        <v>0</v>
      </c>
      <c r="D16" s="430">
        <f>'Crop Budget (Main)'!K39</f>
        <v>0</v>
      </c>
      <c r="R16" s="427"/>
      <c r="S16" s="427"/>
      <c r="T16" s="427"/>
      <c r="U16" s="427"/>
    </row>
    <row r="17" spans="1:21" ht="15.75">
      <c r="A17" s="217" t="s">
        <v>100</v>
      </c>
      <c r="B17" s="430">
        <f>SUM(B18:B20)</f>
        <v>16.7</v>
      </c>
      <c r="C17" s="430">
        <f t="shared" ref="C17:D17" si="3">SUM(C18:C20)</f>
        <v>11.69</v>
      </c>
      <c r="D17" s="430">
        <f t="shared" si="3"/>
        <v>16.73</v>
      </c>
      <c r="R17" s="427"/>
      <c r="S17" s="427"/>
      <c r="T17" s="427"/>
      <c r="U17" s="427"/>
    </row>
    <row r="18" spans="1:21" hidden="1">
      <c r="A18" s="433" t="s">
        <v>101</v>
      </c>
      <c r="B18" s="430">
        <f>'Crop Budget (Main)'!C41</f>
        <v>10.82</v>
      </c>
      <c r="C18" s="430">
        <f>'Crop Budget (Main)'!G41</f>
        <v>5.85</v>
      </c>
      <c r="D18" s="430">
        <f>'Crop Budget (Main)'!K41</f>
        <v>15.83</v>
      </c>
      <c r="R18" s="427"/>
      <c r="S18" s="427"/>
      <c r="T18" s="427"/>
      <c r="U18" s="427"/>
    </row>
    <row r="19" spans="1:21" hidden="1">
      <c r="A19" s="433" t="s">
        <v>102</v>
      </c>
      <c r="B19" s="430">
        <f>'Crop Budget (Main)'!C42</f>
        <v>5.88</v>
      </c>
      <c r="C19" s="430">
        <f>'Crop Budget (Main)'!G42</f>
        <v>5.84</v>
      </c>
      <c r="D19" s="430">
        <f>'Crop Budget (Main)'!K42</f>
        <v>0.9</v>
      </c>
      <c r="R19" s="427"/>
      <c r="S19" s="427"/>
      <c r="T19" s="427"/>
      <c r="U19" s="427"/>
    </row>
    <row r="20" spans="1:21" hidden="1">
      <c r="A20" s="433" t="s">
        <v>302</v>
      </c>
      <c r="B20" s="430">
        <f>'Crop Budget (Main)'!C43</f>
        <v>0</v>
      </c>
      <c r="C20" s="430">
        <f>'Crop Budget (Main)'!G43</f>
        <v>0</v>
      </c>
      <c r="D20" s="430">
        <f>'Crop Budget (Main)'!K43</f>
        <v>0</v>
      </c>
      <c r="R20" s="427"/>
      <c r="S20" s="427"/>
      <c r="T20" s="427"/>
      <c r="U20" s="427"/>
    </row>
    <row r="21" spans="1:21" ht="15.75">
      <c r="A21" s="217" t="s">
        <v>104</v>
      </c>
      <c r="B21" s="430">
        <f>'Crop Budget (Main)'!C44</f>
        <v>2.71</v>
      </c>
      <c r="C21" s="430">
        <f>'Crop Budget (Main)'!G44</f>
        <v>0.88</v>
      </c>
      <c r="D21" s="430">
        <f>'Crop Budget (Main)'!K44</f>
        <v>3.65</v>
      </c>
      <c r="R21" s="427"/>
      <c r="S21" s="427"/>
      <c r="T21" s="427"/>
      <c r="U21" s="427"/>
    </row>
    <row r="22" spans="1:21" ht="15.75">
      <c r="A22" s="217" t="s">
        <v>110</v>
      </c>
      <c r="B22" s="430">
        <f>'Crop Budget (Main)'!C45</f>
        <v>2.08</v>
      </c>
      <c r="C22" s="430">
        <f>'Crop Budget (Main)'!G45</f>
        <v>0.5</v>
      </c>
      <c r="D22" s="430">
        <f>'Crop Budget (Main)'!K45</f>
        <v>0.9</v>
      </c>
      <c r="R22" s="427"/>
      <c r="S22" s="427"/>
      <c r="T22" s="427"/>
      <c r="U22" s="427"/>
    </row>
    <row r="23" spans="1:21" ht="15.75">
      <c r="A23" s="217" t="s">
        <v>111</v>
      </c>
      <c r="B23" s="430">
        <f>'Crop Budget (Main)'!C46</f>
        <v>16.260000000000002</v>
      </c>
      <c r="C23" s="430">
        <f>'Crop Budget (Main)'!G46</f>
        <v>10.38</v>
      </c>
      <c r="D23" s="430">
        <f>'Crop Budget (Main)'!K46</f>
        <v>8.3000000000000007</v>
      </c>
      <c r="R23" s="427"/>
      <c r="S23" s="427"/>
      <c r="T23" s="427"/>
      <c r="U23" s="427"/>
    </row>
    <row r="24" spans="1:21" ht="15.75">
      <c r="A24" s="217" t="s">
        <v>112</v>
      </c>
      <c r="B24" s="430">
        <f>SUM(B25:B26)</f>
        <v>0</v>
      </c>
      <c r="C24" s="430">
        <f t="shared" ref="C24:D24" si="4">SUM(C25:C26)</f>
        <v>0</v>
      </c>
      <c r="D24" s="430">
        <f t="shared" si="4"/>
        <v>0</v>
      </c>
      <c r="R24" s="427"/>
      <c r="S24" s="427"/>
      <c r="T24" s="427"/>
      <c r="U24" s="427"/>
    </row>
    <row r="25" spans="1:21" hidden="1">
      <c r="A25" s="433" t="s">
        <v>132</v>
      </c>
      <c r="B25" s="430">
        <f>'Crop Budget (Main)'!C48</f>
        <v>0</v>
      </c>
      <c r="C25" s="430">
        <f>'Crop Budget (Main)'!G48</f>
        <v>0</v>
      </c>
      <c r="D25" s="430">
        <f>'Crop Budget (Main)'!K48</f>
        <v>0</v>
      </c>
      <c r="R25" s="427"/>
      <c r="S25" s="427"/>
      <c r="T25" s="427"/>
      <c r="U25" s="427"/>
    </row>
    <row r="26" spans="1:21" hidden="1">
      <c r="A26" s="433" t="s">
        <v>133</v>
      </c>
      <c r="B26" s="430">
        <f>'Crop Budget (Main)'!C49</f>
        <v>0</v>
      </c>
      <c r="C26" s="430">
        <f>'Crop Budget (Main)'!G49</f>
        <v>0</v>
      </c>
      <c r="D26" s="430">
        <f>'Crop Budget (Main)'!K49</f>
        <v>0</v>
      </c>
      <c r="R26" s="427"/>
      <c r="S26" s="427"/>
      <c r="T26" s="427"/>
      <c r="U26" s="427"/>
    </row>
    <row r="27" spans="1:21" ht="15.75">
      <c r="A27" s="217" t="s">
        <v>597</v>
      </c>
      <c r="B27" s="430">
        <f>'Crop Budget (Main)'!C50</f>
        <v>0</v>
      </c>
      <c r="C27" s="430">
        <f>'Crop Budget (Main)'!G50</f>
        <v>1.78</v>
      </c>
      <c r="D27" s="430">
        <f>'Crop Budget (Main)'!K50</f>
        <v>2.35</v>
      </c>
      <c r="R27" s="427"/>
      <c r="S27" s="427"/>
      <c r="T27" s="427"/>
      <c r="U27" s="427"/>
    </row>
    <row r="28" spans="1:21" ht="15.75">
      <c r="A28" s="217" t="s">
        <v>595</v>
      </c>
      <c r="B28" s="430">
        <f>'Crop Budget (Main)'!C51</f>
        <v>31.64</v>
      </c>
      <c r="C28" s="430">
        <f>'Crop Budget (Main)'!G51</f>
        <v>20.27</v>
      </c>
      <c r="D28" s="430">
        <f>'Crop Budget (Main)'!K51</f>
        <v>22.41</v>
      </c>
      <c r="R28" s="427"/>
      <c r="S28" s="427"/>
      <c r="T28" s="427"/>
      <c r="U28" s="427"/>
    </row>
    <row r="29" spans="1:21" ht="15.75" hidden="1">
      <c r="A29" s="217" t="s">
        <v>598</v>
      </c>
      <c r="B29" s="430">
        <f>'Crop Budget (Main)'!C52</f>
        <v>8.3333333333333339</v>
      </c>
      <c r="C29" s="430">
        <f>'Crop Budget (Main)'!G52</f>
        <v>8.3333333333333339</v>
      </c>
      <c r="D29" s="430">
        <f>'Crop Budget (Main)'!K52</f>
        <v>8.3333333333333339</v>
      </c>
      <c r="R29" s="427"/>
      <c r="S29" s="427"/>
      <c r="T29" s="427"/>
      <c r="U29" s="427"/>
    </row>
    <row r="30" spans="1:21" ht="15.75" hidden="1">
      <c r="A30" s="217" t="s">
        <v>694</v>
      </c>
      <c r="B30" s="430">
        <f>'Crop Budget (Main)'!C53</f>
        <v>0</v>
      </c>
      <c r="C30" s="430">
        <f>'Crop Budget (Main)'!G53</f>
        <v>0</v>
      </c>
      <c r="D30" s="430">
        <f>'Crop Budget (Main)'!K53</f>
        <v>0</v>
      </c>
      <c r="R30" s="427"/>
      <c r="S30" s="427"/>
      <c r="T30" s="427"/>
      <c r="U30" s="427"/>
    </row>
    <row r="31" spans="1:21" ht="15.75">
      <c r="A31" s="217" t="s">
        <v>432</v>
      </c>
      <c r="B31" s="430">
        <f>'Crop Budget (Main)'!C58</f>
        <v>12.95</v>
      </c>
      <c r="C31" s="430">
        <f>'Crop Budget (Main)'!G58</f>
        <v>10.199999999999999</v>
      </c>
      <c r="D31" s="430">
        <f>'Crop Budget (Main)'!K58</f>
        <v>8.57</v>
      </c>
      <c r="R31" s="427"/>
      <c r="S31" s="427"/>
      <c r="T31" s="427"/>
      <c r="U31" s="427"/>
    </row>
    <row r="32" spans="1:21" ht="15.75">
      <c r="A32" s="217" t="s">
        <v>606</v>
      </c>
      <c r="B32" s="430">
        <f>'Crop Budget (Main)'!C59</f>
        <v>12.08</v>
      </c>
      <c r="C32" s="430">
        <f>'Crop Budget (Main)'!G59</f>
        <v>10.63</v>
      </c>
      <c r="D32" s="430">
        <f>'Crop Budget (Main)'!K59</f>
        <v>9.6300000000000008</v>
      </c>
      <c r="R32" s="427"/>
      <c r="S32" s="427"/>
      <c r="T32" s="427"/>
      <c r="U32" s="427"/>
    </row>
    <row r="33" spans="1:21" ht="15.75">
      <c r="A33" s="217" t="s">
        <v>306</v>
      </c>
      <c r="B33" s="430">
        <f>'Crop Budget (Main)'!C60</f>
        <v>89.55</v>
      </c>
      <c r="C33" s="430">
        <f>'Crop Budget (Main)'!G60</f>
        <v>98.29</v>
      </c>
      <c r="D33" s="430">
        <f>'Crop Budget (Main)'!K60</f>
        <v>64.28</v>
      </c>
      <c r="R33" s="427"/>
      <c r="S33" s="427"/>
      <c r="T33" s="427"/>
      <c r="U33" s="427"/>
    </row>
    <row r="34" spans="1:21" ht="15.75">
      <c r="A34" s="217" t="s">
        <v>697</v>
      </c>
      <c r="B34" s="430">
        <f>'Crop Budget (Main)'!C61</f>
        <v>66.040000000000006</v>
      </c>
      <c r="C34" s="430">
        <f>'Crop Budget (Main)'!G61</f>
        <v>66.040000000000006</v>
      </c>
      <c r="D34" s="430">
        <f>'Crop Budget (Main)'!K61</f>
        <v>66.040000000000006</v>
      </c>
      <c r="R34" s="427"/>
      <c r="S34" s="427"/>
      <c r="T34" s="427"/>
      <c r="U34" s="427"/>
    </row>
    <row r="35" spans="1:21" ht="15.75" hidden="1">
      <c r="A35" s="217" t="s">
        <v>695</v>
      </c>
      <c r="B35" s="430">
        <f>'Crop Budget (Main)'!C62</f>
        <v>15.77</v>
      </c>
      <c r="C35" s="430">
        <f>'Crop Budget (Main)'!G62</f>
        <v>3.89</v>
      </c>
      <c r="D35" s="430">
        <f>'Crop Budget (Main)'!K62</f>
        <v>0</v>
      </c>
      <c r="R35" s="427"/>
      <c r="S35" s="427"/>
      <c r="T35" s="427"/>
      <c r="U35" s="427"/>
    </row>
    <row r="36" spans="1:21" ht="15.75">
      <c r="A36" s="217" t="s">
        <v>699</v>
      </c>
      <c r="B36" s="430">
        <f>B35+B30</f>
        <v>15.77</v>
      </c>
      <c r="C36" s="430">
        <f>C35+C30</f>
        <v>3.89</v>
      </c>
      <c r="D36" s="430">
        <f>D35+D30</f>
        <v>0</v>
      </c>
      <c r="R36" s="427"/>
      <c r="S36" s="427"/>
      <c r="T36" s="427"/>
      <c r="U36" s="427"/>
    </row>
    <row r="37" spans="1:21" ht="15.75">
      <c r="A37" s="217" t="s">
        <v>479</v>
      </c>
      <c r="B37" s="430">
        <f>'Crop Budget (Main)'!C69</f>
        <v>0</v>
      </c>
      <c r="C37" s="430">
        <f>'Crop Budget (Main)'!G69</f>
        <v>0</v>
      </c>
      <c r="D37" s="430">
        <f>'Crop Budget (Main)'!K69</f>
        <v>0</v>
      </c>
      <c r="R37" s="427"/>
      <c r="S37" s="427"/>
      <c r="T37" s="427"/>
      <c r="U37" s="427"/>
    </row>
    <row r="38" spans="1:21" ht="15.75">
      <c r="A38" s="217" t="s">
        <v>393</v>
      </c>
      <c r="B38" s="430">
        <f>'Crop Budget (Main)'!C70</f>
        <v>0</v>
      </c>
      <c r="C38" s="430">
        <f>'Crop Budget (Main)'!G70</f>
        <v>0</v>
      </c>
      <c r="D38" s="430">
        <f>'Crop Budget (Main)'!K70</f>
        <v>0</v>
      </c>
    </row>
    <row r="39" spans="1:21" ht="15.75">
      <c r="A39" s="217" t="s">
        <v>698</v>
      </c>
      <c r="B39" s="430">
        <f>B40+B29</f>
        <v>39.133333333333333</v>
      </c>
      <c r="C39" s="430">
        <f>C40+C29</f>
        <v>39.133333333333333</v>
      </c>
      <c r="D39" s="430">
        <f>D40+D29</f>
        <v>39.133333333333333</v>
      </c>
      <c r="R39" s="14"/>
      <c r="S39" s="14"/>
      <c r="T39" s="14"/>
      <c r="U39" s="14"/>
    </row>
    <row r="40" spans="1:21" ht="15.75" hidden="1">
      <c r="A40" s="217" t="s">
        <v>599</v>
      </c>
      <c r="B40" s="430">
        <f>'Crop Budget (Main)'!C71</f>
        <v>30.8</v>
      </c>
      <c r="C40" s="430">
        <f>'Crop Budget (Main)'!G71</f>
        <v>30.8</v>
      </c>
      <c r="D40" s="430">
        <f>'Crop Budget (Main)'!K71</f>
        <v>30.8</v>
      </c>
    </row>
    <row r="41" spans="1:21" ht="15.75">
      <c r="A41" s="217" t="s">
        <v>480</v>
      </c>
      <c r="B41" s="430">
        <f>'Crop Budget (Main)'!C72</f>
        <v>66.328056148348594</v>
      </c>
      <c r="C41" s="430">
        <f>'Crop Budget (Main)'!G72</f>
        <v>66.328056148348594</v>
      </c>
      <c r="D41" s="430">
        <f>'Crop Budget (Main)'!K72</f>
        <v>66.328056148348594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C200"/>
  <sheetViews>
    <sheetView zoomScale="80" zoomScaleNormal="80" workbookViewId="0">
      <pane ySplit="9" topLeftCell="A10" activePane="bottomLeft" state="frozen"/>
      <selection pane="bottomLeft" activeCell="U69" sqref="U69"/>
    </sheetView>
  </sheetViews>
  <sheetFormatPr defaultColWidth="9.140625" defaultRowHeight="18.75"/>
  <cols>
    <col min="1" max="1" width="57.140625" style="195" bestFit="1" customWidth="1"/>
    <col min="2" max="2" width="2.42578125" style="195" customWidth="1"/>
    <col min="3" max="3" width="14.42578125" style="195" bestFit="1" customWidth="1"/>
    <col min="4" max="4" width="12.7109375" style="195" customWidth="1"/>
    <col min="5" max="5" width="17" style="195" bestFit="1" customWidth="1"/>
    <col min="6" max="6" width="4.7109375" style="195" customWidth="1"/>
    <col min="7" max="7" width="14.42578125" style="195" bestFit="1" customWidth="1"/>
    <col min="8" max="8" width="12.7109375" style="195" customWidth="1"/>
    <col min="9" max="9" width="17" style="195" customWidth="1"/>
    <col min="10" max="10" width="4.7109375" style="195" customWidth="1"/>
    <col min="11" max="11" width="14.42578125" style="195" bestFit="1" customWidth="1"/>
    <col min="12" max="12" width="12.7109375" style="195" customWidth="1"/>
    <col min="13" max="13" width="17" style="195" customWidth="1"/>
    <col min="14" max="14" width="15.7109375" style="195" hidden="1" customWidth="1"/>
    <col min="15" max="15" width="17.7109375" style="195" hidden="1" customWidth="1"/>
    <col min="16" max="16" width="15.7109375" style="195" hidden="1" customWidth="1"/>
    <col min="17" max="17" width="17.7109375" style="195" hidden="1" customWidth="1"/>
    <col min="18" max="18" width="15.7109375" style="195" hidden="1" customWidth="1"/>
    <col min="19" max="19" width="17.7109375" style="195" hidden="1" customWidth="1"/>
    <col min="20" max="20" width="10.140625" style="195" customWidth="1"/>
    <col min="21" max="21" width="9.140625" style="195"/>
    <col min="22" max="22" width="12.28515625" style="195" bestFit="1" customWidth="1"/>
    <col min="23" max="27" width="9.140625" style="195"/>
    <col min="28" max="28" width="18.28515625" style="195" hidden="1" customWidth="1"/>
    <col min="29" max="16384" width="9.140625" style="195"/>
  </cols>
  <sheetData>
    <row r="1" spans="1:28" ht="15.75" customHeight="1">
      <c r="A1" s="824" t="s">
        <v>645</v>
      </c>
      <c r="B1" s="825"/>
      <c r="C1" s="825"/>
      <c r="D1" s="825"/>
      <c r="E1" s="825"/>
      <c r="F1" s="825"/>
      <c r="G1" s="825"/>
      <c r="H1" s="825"/>
      <c r="I1" s="825"/>
      <c r="J1" s="825"/>
      <c r="K1" s="825"/>
      <c r="L1" s="825"/>
      <c r="M1" s="826"/>
    </row>
    <row r="2" spans="1:28" ht="15.75" customHeight="1">
      <c r="A2" s="827"/>
      <c r="B2" s="828"/>
      <c r="C2" s="828"/>
      <c r="D2" s="828"/>
      <c r="E2" s="828"/>
      <c r="F2" s="828"/>
      <c r="G2" s="828"/>
      <c r="H2" s="828"/>
      <c r="I2" s="828"/>
      <c r="J2" s="828"/>
      <c r="K2" s="828"/>
      <c r="L2" s="828"/>
      <c r="M2" s="829"/>
      <c r="N2" s="197"/>
      <c r="O2" s="197"/>
      <c r="P2" s="197"/>
      <c r="Q2" s="197"/>
      <c r="R2" s="197"/>
      <c r="S2" s="198"/>
      <c r="T2" s="196"/>
    </row>
    <row r="3" spans="1:28" ht="15.75" customHeight="1">
      <c r="A3" s="854" t="s">
        <v>423</v>
      </c>
      <c r="B3" s="855"/>
      <c r="C3" s="855"/>
      <c r="D3" s="855"/>
      <c r="E3" s="855"/>
      <c r="F3" s="855"/>
      <c r="G3" s="855"/>
      <c r="H3" s="855"/>
      <c r="I3" s="855"/>
      <c r="J3" s="855"/>
      <c r="K3" s="855"/>
      <c r="L3" s="855"/>
      <c r="M3" s="856"/>
      <c r="N3" s="197"/>
      <c r="O3" s="197"/>
      <c r="P3" s="197"/>
      <c r="Q3" s="197"/>
      <c r="R3" s="197"/>
      <c r="S3" s="198"/>
      <c r="T3" s="196"/>
    </row>
    <row r="4" spans="1:28" ht="15.75" customHeight="1">
      <c r="A4" s="854" t="s">
        <v>422</v>
      </c>
      <c r="B4" s="855"/>
      <c r="C4" s="855"/>
      <c r="D4" s="855"/>
      <c r="E4" s="855"/>
      <c r="F4" s="855"/>
      <c r="G4" s="855"/>
      <c r="H4" s="855"/>
      <c r="I4" s="855"/>
      <c r="J4" s="855"/>
      <c r="K4" s="855"/>
      <c r="L4" s="855"/>
      <c r="M4" s="856"/>
      <c r="N4" s="197"/>
      <c r="O4" s="197"/>
      <c r="P4" s="197"/>
      <c r="Q4" s="197"/>
      <c r="R4" s="197"/>
      <c r="S4" s="198"/>
      <c r="T4" s="196"/>
    </row>
    <row r="5" spans="1:28" ht="15.75" customHeight="1">
      <c r="A5" s="854" t="s">
        <v>702</v>
      </c>
      <c r="B5" s="855"/>
      <c r="C5" s="855"/>
      <c r="D5" s="855"/>
      <c r="E5" s="855"/>
      <c r="F5" s="855"/>
      <c r="G5" s="855"/>
      <c r="H5" s="855"/>
      <c r="I5" s="855"/>
      <c r="J5" s="855"/>
      <c r="K5" s="855"/>
      <c r="L5" s="855"/>
      <c r="M5" s="856"/>
      <c r="N5" s="197"/>
      <c r="O5" s="197"/>
      <c r="P5" s="197"/>
      <c r="Q5" s="197"/>
      <c r="R5" s="197"/>
      <c r="S5" s="198"/>
      <c r="T5" s="196"/>
    </row>
    <row r="6" spans="1:28" ht="15.75" customHeight="1">
      <c r="A6" s="854" t="s">
        <v>583</v>
      </c>
      <c r="B6" s="855"/>
      <c r="C6" s="855"/>
      <c r="D6" s="855"/>
      <c r="E6" s="855"/>
      <c r="F6" s="855"/>
      <c r="G6" s="855"/>
      <c r="H6" s="855"/>
      <c r="I6" s="855"/>
      <c r="J6" s="855"/>
      <c r="K6" s="855"/>
      <c r="L6" s="855"/>
      <c r="M6" s="856"/>
      <c r="N6" s="197"/>
      <c r="O6" s="197"/>
      <c r="P6" s="197"/>
      <c r="Q6" s="197"/>
      <c r="R6" s="197"/>
      <c r="S6" s="198"/>
      <c r="T6" s="196"/>
    </row>
    <row r="7" spans="1:28" ht="15.75" customHeight="1" thickBot="1">
      <c r="A7" s="861"/>
      <c r="B7" s="862"/>
      <c r="C7" s="862"/>
      <c r="D7" s="862"/>
      <c r="E7" s="862"/>
      <c r="F7" s="862"/>
      <c r="G7" s="862"/>
      <c r="H7" s="862"/>
      <c r="I7" s="862"/>
      <c r="J7" s="862"/>
      <c r="K7" s="862"/>
      <c r="L7" s="862"/>
      <c r="M7" s="863"/>
      <c r="N7" s="199"/>
      <c r="O7" s="199"/>
      <c r="P7" s="199"/>
      <c r="Q7" s="199"/>
      <c r="R7" s="199"/>
      <c r="S7" s="200"/>
      <c r="T7" s="196"/>
    </row>
    <row r="8" spans="1:28" ht="19.5" thickBot="1">
      <c r="A8" s="201"/>
      <c r="B8" s="202"/>
      <c r="C8" s="203"/>
      <c r="D8" s="203"/>
      <c r="E8" s="203"/>
      <c r="F8" s="203"/>
      <c r="G8" s="203"/>
      <c r="H8" s="203"/>
      <c r="I8" s="203"/>
      <c r="J8" s="203"/>
      <c r="K8" s="203"/>
      <c r="L8" s="203"/>
      <c r="M8" s="204"/>
      <c r="N8" s="205"/>
      <c r="O8" s="205"/>
      <c r="P8" s="206"/>
      <c r="Q8" s="207"/>
      <c r="R8" s="205"/>
      <c r="S8" s="208"/>
      <c r="T8" s="196"/>
    </row>
    <row r="9" spans="1:28" ht="21.75" thickBot="1">
      <c r="A9" s="168"/>
      <c r="B9" s="345"/>
      <c r="C9" s="851" t="s">
        <v>78</v>
      </c>
      <c r="D9" s="852"/>
      <c r="E9" s="853"/>
      <c r="F9" s="190"/>
      <c r="G9" s="851" t="s">
        <v>137</v>
      </c>
      <c r="H9" s="852"/>
      <c r="I9" s="853"/>
      <c r="J9" s="190"/>
      <c r="K9" s="851" t="s">
        <v>138</v>
      </c>
      <c r="L9" s="852"/>
      <c r="M9" s="853"/>
      <c r="N9" s="859" t="s">
        <v>141</v>
      </c>
      <c r="O9" s="860"/>
      <c r="P9" s="857" t="s">
        <v>140</v>
      </c>
      <c r="Q9" s="860"/>
      <c r="R9" s="857" t="s">
        <v>142</v>
      </c>
      <c r="S9" s="858"/>
      <c r="T9" s="196"/>
      <c r="AB9" s="195" t="s">
        <v>604</v>
      </c>
    </row>
    <row r="10" spans="1:28" ht="21.75" thickBot="1">
      <c r="A10" s="588" t="s">
        <v>603</v>
      </c>
      <c r="B10" s="185"/>
      <c r="C10" s="867" t="s">
        <v>600</v>
      </c>
      <c r="D10" s="868"/>
      <c r="E10" s="869"/>
      <c r="F10" s="367"/>
      <c r="G10" s="867" t="s">
        <v>601</v>
      </c>
      <c r="H10" s="868"/>
      <c r="I10" s="869"/>
      <c r="J10" s="367"/>
      <c r="K10" s="867" t="s">
        <v>602</v>
      </c>
      <c r="L10" s="868"/>
      <c r="M10" s="870"/>
      <c r="N10" s="361"/>
      <c r="O10" s="362"/>
      <c r="P10" s="359"/>
      <c r="Q10" s="362"/>
      <c r="R10" s="359"/>
      <c r="S10" s="360"/>
      <c r="T10" s="196"/>
      <c r="AB10" s="195" t="s">
        <v>600</v>
      </c>
    </row>
    <row r="11" spans="1:28" ht="16.5" customHeight="1">
      <c r="A11" s="587" t="s">
        <v>144</v>
      </c>
      <c r="B11" s="209"/>
      <c r="C11" s="368"/>
      <c r="D11" s="21"/>
      <c r="E11" s="369"/>
      <c r="F11" s="210"/>
      <c r="G11" s="368"/>
      <c r="H11" s="21"/>
      <c r="I11" s="369"/>
      <c r="J11" s="210"/>
      <c r="K11" s="368"/>
      <c r="L11" s="21"/>
      <c r="M11" s="211"/>
      <c r="N11" s="205"/>
      <c r="O11" s="212"/>
      <c r="P11" s="206"/>
      <c r="Q11" s="212"/>
      <c r="R11" s="206"/>
      <c r="S11" s="213"/>
      <c r="T11" s="196"/>
      <c r="AB11" s="195" t="s">
        <v>601</v>
      </c>
    </row>
    <row r="12" spans="1:28" ht="16.5" customHeight="1">
      <c r="A12" s="341" t="s">
        <v>482</v>
      </c>
      <c r="B12" s="185"/>
      <c r="C12" s="461" t="s">
        <v>153</v>
      </c>
      <c r="D12" s="134"/>
      <c r="E12" s="214"/>
      <c r="F12" s="215"/>
      <c r="G12" s="461" t="s">
        <v>153</v>
      </c>
      <c r="H12" s="134"/>
      <c r="I12" s="214"/>
      <c r="J12" s="215"/>
      <c r="K12" s="461" t="s">
        <v>153</v>
      </c>
      <c r="L12" s="21"/>
      <c r="M12" s="211"/>
      <c r="N12" s="205"/>
      <c r="O12" s="212"/>
      <c r="P12" s="206"/>
      <c r="Q12" s="212"/>
      <c r="R12" s="206"/>
      <c r="S12" s="213"/>
      <c r="T12" s="196"/>
      <c r="AB12" s="195" t="s">
        <v>602</v>
      </c>
    </row>
    <row r="13" spans="1:28">
      <c r="A13" s="459" t="s">
        <v>434</v>
      </c>
      <c r="B13" s="217"/>
      <c r="C13" s="462">
        <v>3.93</v>
      </c>
      <c r="D13" s="463"/>
      <c r="E13" s="464"/>
      <c r="F13" s="465"/>
      <c r="G13" s="462">
        <v>9.25</v>
      </c>
      <c r="H13" s="463"/>
      <c r="I13" s="464"/>
      <c r="J13" s="465"/>
      <c r="K13" s="462">
        <v>5.21</v>
      </c>
      <c r="L13" s="466"/>
      <c r="M13" s="467"/>
      <c r="N13" s="218" t="e">
        <f>#REF!+#REF!</f>
        <v>#REF!</v>
      </c>
      <c r="O13" s="219"/>
      <c r="P13" s="220" t="e">
        <f>#REF!+#REF!</f>
        <v>#REF!</v>
      </c>
      <c r="Q13" s="219"/>
      <c r="R13" s="220" t="e">
        <f>#REF!+#REF!</f>
        <v>#REF!</v>
      </c>
      <c r="S13" s="221"/>
      <c r="T13" s="196"/>
      <c r="AB13" s="195" t="s">
        <v>642</v>
      </c>
    </row>
    <row r="14" spans="1:28">
      <c r="A14" s="459" t="s">
        <v>143</v>
      </c>
      <c r="B14" s="217"/>
      <c r="C14" s="468">
        <v>157.4</v>
      </c>
      <c r="D14" s="469" t="s">
        <v>131</v>
      </c>
      <c r="E14" s="470"/>
      <c r="F14" s="469"/>
      <c r="G14" s="468">
        <v>43.02</v>
      </c>
      <c r="H14" s="469" t="s">
        <v>131</v>
      </c>
      <c r="I14" s="470"/>
      <c r="J14" s="469"/>
      <c r="K14" s="468">
        <v>68.87</v>
      </c>
      <c r="L14" s="469" t="s">
        <v>131</v>
      </c>
      <c r="M14" s="467"/>
      <c r="N14" s="110">
        <v>4</v>
      </c>
      <c r="O14" s="108" t="s">
        <v>16</v>
      </c>
      <c r="P14" s="111">
        <v>30</v>
      </c>
      <c r="Q14" s="108" t="s">
        <v>16</v>
      </c>
      <c r="R14" s="111">
        <v>22</v>
      </c>
      <c r="S14" s="109" t="s">
        <v>145</v>
      </c>
      <c r="T14" s="196"/>
      <c r="AB14" s="195" t="s">
        <v>643</v>
      </c>
    </row>
    <row r="15" spans="1:28">
      <c r="A15" s="460" t="s">
        <v>129</v>
      </c>
      <c r="B15" s="187"/>
      <c r="C15" s="468">
        <v>100</v>
      </c>
      <c r="D15" s="469" t="s">
        <v>129</v>
      </c>
      <c r="E15" s="471"/>
      <c r="F15" s="472"/>
      <c r="G15" s="468">
        <v>100</v>
      </c>
      <c r="H15" s="469" t="s">
        <v>129</v>
      </c>
      <c r="I15" s="471"/>
      <c r="J15" s="472"/>
      <c r="K15" s="468">
        <v>100</v>
      </c>
      <c r="L15" s="469" t="s">
        <v>129</v>
      </c>
      <c r="M15" s="473"/>
      <c r="N15" s="26">
        <v>50</v>
      </c>
      <c r="O15" s="27" t="s">
        <v>129</v>
      </c>
      <c r="P15" s="113">
        <v>50</v>
      </c>
      <c r="Q15" s="112" t="s">
        <v>129</v>
      </c>
      <c r="R15" s="26">
        <v>20</v>
      </c>
      <c r="S15" s="222" t="s">
        <v>129</v>
      </c>
      <c r="T15" s="196"/>
      <c r="AB15" s="195" t="s">
        <v>644</v>
      </c>
    </row>
    <row r="16" spans="1:28">
      <c r="A16" s="460"/>
      <c r="B16" s="187"/>
      <c r="C16" s="474"/>
      <c r="D16" s="469"/>
      <c r="E16" s="471"/>
      <c r="F16" s="472"/>
      <c r="G16" s="474"/>
      <c r="H16" s="469"/>
      <c r="I16" s="471"/>
      <c r="J16" s="472"/>
      <c r="K16" s="474"/>
      <c r="L16" s="469"/>
      <c r="M16" s="473"/>
      <c r="N16" s="26"/>
      <c r="O16" s="27"/>
      <c r="P16" s="113"/>
      <c r="Q16" s="112"/>
      <c r="R16" s="26"/>
      <c r="S16" s="222"/>
      <c r="T16" s="196"/>
    </row>
    <row r="17" spans="1:20">
      <c r="A17" s="460" t="s">
        <v>626</v>
      </c>
      <c r="B17" s="187"/>
      <c r="C17" s="475">
        <f>'Gov''t Payments'!B34</f>
        <v>68.87</v>
      </c>
      <c r="D17" s="469"/>
      <c r="E17" s="471"/>
      <c r="F17" s="472"/>
      <c r="G17" s="475">
        <f>'Gov''t Payments'!C34</f>
        <v>72.680000000000007</v>
      </c>
      <c r="H17" s="469"/>
      <c r="I17" s="471"/>
      <c r="J17" s="472"/>
      <c r="K17" s="476">
        <f>'Gov''t Payments'!D34</f>
        <v>33.700000000000003</v>
      </c>
      <c r="L17" s="469"/>
      <c r="M17" s="473"/>
      <c r="N17" s="26"/>
      <c r="O17" s="27"/>
      <c r="P17" s="113"/>
      <c r="Q17" s="112"/>
      <c r="R17" s="26"/>
      <c r="S17" s="222"/>
      <c r="T17" s="196"/>
    </row>
    <row r="18" spans="1:20">
      <c r="A18" s="460" t="s">
        <v>675</v>
      </c>
      <c r="B18" s="187"/>
      <c r="C18" s="475">
        <f>'Gov''t Payments'!B60</f>
        <v>24.22</v>
      </c>
      <c r="D18" s="469"/>
      <c r="E18" s="471"/>
      <c r="F18" s="472"/>
      <c r="G18" s="475">
        <f>'Gov''t Payments'!C60</f>
        <v>14.01</v>
      </c>
      <c r="H18" s="469"/>
      <c r="I18" s="471"/>
      <c r="J18" s="472"/>
      <c r="K18" s="476">
        <f>'Gov''t Payments'!D60</f>
        <v>24.7</v>
      </c>
      <c r="L18" s="469"/>
      <c r="M18" s="473"/>
      <c r="N18" s="26"/>
      <c r="O18" s="27"/>
      <c r="P18" s="113"/>
      <c r="Q18" s="112"/>
      <c r="R18" s="26"/>
      <c r="S18" s="222"/>
      <c r="T18" s="196"/>
    </row>
    <row r="19" spans="1:20">
      <c r="A19" s="460"/>
      <c r="B19" s="187"/>
      <c r="C19" s="477"/>
      <c r="D19" s="469"/>
      <c r="E19" s="471"/>
      <c r="F19" s="472"/>
      <c r="G19" s="477"/>
      <c r="H19" s="469"/>
      <c r="I19" s="471"/>
      <c r="J19" s="472"/>
      <c r="K19" s="477"/>
      <c r="L19" s="469"/>
      <c r="M19" s="473"/>
      <c r="N19" s="26"/>
      <c r="O19" s="27"/>
      <c r="P19" s="113"/>
      <c r="Q19" s="112"/>
      <c r="R19" s="26"/>
      <c r="S19" s="222"/>
      <c r="T19" s="196"/>
    </row>
    <row r="20" spans="1:20">
      <c r="A20" s="864" t="s">
        <v>483</v>
      </c>
      <c r="B20" s="866"/>
      <c r="C20" s="478" t="s">
        <v>79</v>
      </c>
      <c r="D20" s="478"/>
      <c r="E20" s="479" t="s">
        <v>481</v>
      </c>
      <c r="F20" s="480"/>
      <c r="G20" s="478" t="s">
        <v>79</v>
      </c>
      <c r="H20" s="478"/>
      <c r="I20" s="479" t="s">
        <v>481</v>
      </c>
      <c r="J20" s="480"/>
      <c r="K20" s="478" t="s">
        <v>79</v>
      </c>
      <c r="L20" s="478"/>
      <c r="M20" s="481" t="s">
        <v>481</v>
      </c>
      <c r="N20" s="115" t="s">
        <v>79</v>
      </c>
      <c r="O20" s="116" t="s">
        <v>97</v>
      </c>
      <c r="P20" s="114" t="s">
        <v>79</v>
      </c>
      <c r="Q20" s="116" t="s">
        <v>97</v>
      </c>
      <c r="R20" s="114" t="s">
        <v>79</v>
      </c>
      <c r="S20" s="117" t="s">
        <v>97</v>
      </c>
      <c r="T20" s="196"/>
    </row>
    <row r="21" spans="1:20" ht="19.5" thickBot="1">
      <c r="A21" s="865"/>
      <c r="B21" s="866"/>
      <c r="C21" s="482">
        <f>C13*C14+C17+C18</f>
        <v>711.67200000000003</v>
      </c>
      <c r="D21" s="483"/>
      <c r="E21" s="484">
        <f>C21*$C$15</f>
        <v>71167.199999999997</v>
      </c>
      <c r="F21" s="469"/>
      <c r="G21" s="482">
        <f>G13*G14+G17+G18</f>
        <v>484.625</v>
      </c>
      <c r="H21" s="483"/>
      <c r="I21" s="485">
        <f>G21*$G$15</f>
        <v>48462.5</v>
      </c>
      <c r="J21" s="469"/>
      <c r="K21" s="482">
        <f>K13*K14+K17+K18</f>
        <v>417.21269999999998</v>
      </c>
      <c r="L21" s="483"/>
      <c r="M21" s="486">
        <f>K21*$K$15</f>
        <v>41721.269999999997</v>
      </c>
      <c r="N21" s="223" t="e">
        <f>N13*N14</f>
        <v>#REF!</v>
      </c>
      <c r="O21" s="224" t="e">
        <f>N21*$N$15</f>
        <v>#REF!</v>
      </c>
      <c r="P21" s="225" t="e">
        <f>P13*P14</f>
        <v>#REF!</v>
      </c>
      <c r="Q21" s="224" t="e">
        <f>P21*$P$15</f>
        <v>#REF!</v>
      </c>
      <c r="R21" s="225" t="e">
        <f>R13*R14</f>
        <v>#REF!</v>
      </c>
      <c r="S21" s="226" t="e">
        <f>R21*$R$15</f>
        <v>#REF!</v>
      </c>
      <c r="T21" s="196"/>
    </row>
    <row r="22" spans="1:20" ht="19.5" thickTop="1">
      <c r="A22" s="216"/>
      <c r="B22" s="217"/>
      <c r="C22" s="487"/>
      <c r="D22" s="472"/>
      <c r="E22" s="470"/>
      <c r="F22" s="469"/>
      <c r="G22" s="487"/>
      <c r="H22" s="472"/>
      <c r="I22" s="470"/>
      <c r="J22" s="469"/>
      <c r="K22" s="487"/>
      <c r="L22" s="472"/>
      <c r="M22" s="467"/>
      <c r="N22" s="196"/>
      <c r="O22" s="219"/>
      <c r="P22" s="228"/>
      <c r="Q22" s="219"/>
      <c r="R22" s="228"/>
      <c r="S22" s="221"/>
      <c r="T22" s="196"/>
    </row>
    <row r="23" spans="1:20">
      <c r="A23" s="586" t="s">
        <v>605</v>
      </c>
      <c r="B23" s="229"/>
      <c r="C23" s="488"/>
      <c r="D23" s="489"/>
      <c r="E23" s="470"/>
      <c r="F23" s="469"/>
      <c r="G23" s="488"/>
      <c r="H23" s="489"/>
      <c r="I23" s="470"/>
      <c r="J23" s="469"/>
      <c r="K23" s="488"/>
      <c r="L23" s="489"/>
      <c r="M23" s="467"/>
      <c r="N23" s="230"/>
      <c r="O23" s="219"/>
      <c r="P23" s="231"/>
      <c r="Q23" s="219"/>
      <c r="R23" s="231"/>
      <c r="S23" s="221"/>
      <c r="T23" s="196"/>
    </row>
    <row r="24" spans="1:20">
      <c r="A24" s="679" t="s">
        <v>739</v>
      </c>
      <c r="B24" s="157"/>
      <c r="C24" s="490" t="s">
        <v>79</v>
      </c>
      <c r="D24" s="491"/>
      <c r="E24" s="492" t="s">
        <v>481</v>
      </c>
      <c r="F24" s="480"/>
      <c r="G24" s="490" t="s">
        <v>79</v>
      </c>
      <c r="H24" s="491"/>
      <c r="I24" s="492" t="s">
        <v>481</v>
      </c>
      <c r="J24" s="480"/>
      <c r="K24" s="490" t="s">
        <v>79</v>
      </c>
      <c r="L24" s="491"/>
      <c r="M24" s="493" t="s">
        <v>481</v>
      </c>
      <c r="N24" s="230"/>
      <c r="O24" s="219"/>
      <c r="P24" s="231"/>
      <c r="Q24" s="219"/>
      <c r="R24" s="231"/>
      <c r="S24" s="221"/>
      <c r="T24" s="196"/>
    </row>
    <row r="25" spans="1:20">
      <c r="A25" s="524" t="s">
        <v>98</v>
      </c>
      <c r="B25" s="232"/>
      <c r="C25" s="494">
        <f>'Variable &amp; Fixed'!G6</f>
        <v>99.480500000000006</v>
      </c>
      <c r="D25" s="495">
        <f t="shared" ref="D25:D50" si="0">C25</f>
        <v>99.480500000000006</v>
      </c>
      <c r="E25" s="496">
        <f t="shared" ref="E25" si="1">C25*$C$15</f>
        <v>9948.0500000000011</v>
      </c>
      <c r="F25" s="469"/>
      <c r="G25" s="497">
        <f>'Variable &amp; Fixed'!L6</f>
        <v>58.370000000000005</v>
      </c>
      <c r="H25" s="498">
        <f t="shared" ref="H25:H50" si="2">G25</f>
        <v>58.370000000000005</v>
      </c>
      <c r="I25" s="499">
        <f t="shared" ref="I25:I32" si="3">G25*$G$15</f>
        <v>5837</v>
      </c>
      <c r="J25" s="469"/>
      <c r="K25" s="497">
        <f>'Variable &amp; Fixed'!R6</f>
        <v>32.405333333333331</v>
      </c>
      <c r="L25" s="498">
        <f t="shared" ref="L25:L50" si="4">K25</f>
        <v>32.405333333333331</v>
      </c>
      <c r="M25" s="500">
        <f t="shared" ref="M25:M32" si="5">K25*$K$15</f>
        <v>3240.5333333333333</v>
      </c>
      <c r="N25" s="233" t="e">
        <f>#REF!</f>
        <v>#REF!</v>
      </c>
      <c r="O25" s="234" t="e">
        <f>N25*$C$15</f>
        <v>#REF!</v>
      </c>
      <c r="P25" s="235" t="e">
        <f>#REF!</f>
        <v>#REF!</v>
      </c>
      <c r="Q25" s="234" t="e">
        <f>P25*$C$15</f>
        <v>#REF!</v>
      </c>
      <c r="R25" s="235" t="e">
        <f>#REF!</f>
        <v>#REF!</v>
      </c>
      <c r="S25" s="236" t="e">
        <f>R25*$C$15</f>
        <v>#REF!</v>
      </c>
      <c r="T25" s="237"/>
    </row>
    <row r="26" spans="1:20">
      <c r="A26" s="459" t="s">
        <v>99</v>
      </c>
      <c r="B26" s="232"/>
      <c r="C26" s="494">
        <f>'Fertilizer Plan'!G72+'Nutrient Management'!U41</f>
        <v>121.57204999999999</v>
      </c>
      <c r="D26" s="495">
        <f t="shared" si="0"/>
        <v>121.57204999999999</v>
      </c>
      <c r="E26" s="496">
        <f t="shared" ref="E26:E32" si="6">C26*$C$15</f>
        <v>12157.204999999998</v>
      </c>
      <c r="F26" s="469"/>
      <c r="G26" s="497">
        <f>'Fertilizer Plan'!S72+'Nutrient Management'!U44</f>
        <v>37.975000000000001</v>
      </c>
      <c r="H26" s="498">
        <f t="shared" si="2"/>
        <v>37.975000000000001</v>
      </c>
      <c r="I26" s="499">
        <f t="shared" si="3"/>
        <v>3797.5</v>
      </c>
      <c r="J26" s="469"/>
      <c r="K26" s="497">
        <f>'Fertilizer Plan'!AE72+'Nutrient Management'!U47</f>
        <v>77.015000000000001</v>
      </c>
      <c r="L26" s="498">
        <f t="shared" si="4"/>
        <v>77.015000000000001</v>
      </c>
      <c r="M26" s="500">
        <f t="shared" si="5"/>
        <v>7701.5</v>
      </c>
      <c r="N26" s="238">
        <v>0</v>
      </c>
      <c r="O26" s="239">
        <f>N26*$C$15</f>
        <v>0</v>
      </c>
      <c r="P26" s="240">
        <v>0</v>
      </c>
      <c r="Q26" s="239">
        <f>P26*$C$15</f>
        <v>0</v>
      </c>
      <c r="R26" s="240">
        <v>0</v>
      </c>
      <c r="S26" s="241">
        <f>R26*$C$15</f>
        <v>0</v>
      </c>
      <c r="T26" s="237"/>
    </row>
    <row r="27" spans="1:20">
      <c r="A27" s="459" t="s">
        <v>433</v>
      </c>
      <c r="B27" s="232"/>
      <c r="C27" s="496"/>
      <c r="D27" s="495">
        <f t="shared" si="0"/>
        <v>0</v>
      </c>
      <c r="E27" s="496"/>
      <c r="F27" s="469"/>
      <c r="G27" s="499"/>
      <c r="H27" s="498">
        <f t="shared" si="2"/>
        <v>0</v>
      </c>
      <c r="I27" s="499"/>
      <c r="J27" s="469"/>
      <c r="K27" s="499"/>
      <c r="L27" s="498">
        <f t="shared" si="4"/>
        <v>0</v>
      </c>
      <c r="M27" s="500"/>
      <c r="N27" s="238"/>
      <c r="O27" s="239"/>
      <c r="P27" s="240"/>
      <c r="Q27" s="239"/>
      <c r="R27" s="240"/>
      <c r="S27" s="241"/>
      <c r="T27" s="237"/>
    </row>
    <row r="28" spans="1:20">
      <c r="A28" s="528" t="s">
        <v>436</v>
      </c>
      <c r="B28" s="191"/>
      <c r="C28" s="494">
        <f>'Chemical Plan'!H19+'Chemical Plan'!H40</f>
        <v>36.36</v>
      </c>
      <c r="D28" s="495">
        <f t="shared" si="0"/>
        <v>36.36</v>
      </c>
      <c r="E28" s="496">
        <f>C28*$C$15</f>
        <v>3636</v>
      </c>
      <c r="F28" s="469"/>
      <c r="G28" s="497">
        <f>'Chemical Plan'!R19+'Chemical Plan'!R40</f>
        <v>36.485624999999999</v>
      </c>
      <c r="H28" s="498">
        <f t="shared" si="2"/>
        <v>36.485624999999999</v>
      </c>
      <c r="I28" s="499">
        <f>G28*$G$15</f>
        <v>3648.5625</v>
      </c>
      <c r="J28" s="469"/>
      <c r="K28" s="497">
        <f>'Chemical Plan'!AB19+'Chemical Plan'!AB40</f>
        <v>25.546875</v>
      </c>
      <c r="L28" s="498">
        <f t="shared" si="4"/>
        <v>25.546875</v>
      </c>
      <c r="M28" s="500">
        <f>K28*$K$15</f>
        <v>2554.6875</v>
      </c>
      <c r="N28" s="238"/>
      <c r="O28" s="239"/>
      <c r="P28" s="240"/>
      <c r="Q28" s="239"/>
      <c r="R28" s="240"/>
      <c r="S28" s="241"/>
      <c r="T28" s="237"/>
    </row>
    <row r="29" spans="1:20">
      <c r="A29" s="528" t="s">
        <v>130</v>
      </c>
      <c r="B29" s="191"/>
      <c r="C29" s="494">
        <f>'Chemical Plan'!H53</f>
        <v>15.075000000000001</v>
      </c>
      <c r="D29" s="495">
        <f t="shared" si="0"/>
        <v>15.075000000000001</v>
      </c>
      <c r="E29" s="496">
        <f t="shared" si="6"/>
        <v>1507.5</v>
      </c>
      <c r="F29" s="469"/>
      <c r="G29" s="497">
        <f>'Chemical Plan'!R53</f>
        <v>0</v>
      </c>
      <c r="H29" s="498">
        <f t="shared" si="2"/>
        <v>0</v>
      </c>
      <c r="I29" s="499">
        <f t="shared" si="3"/>
        <v>0</v>
      </c>
      <c r="J29" s="469"/>
      <c r="K29" s="497">
        <f>'Chemical Plan'!AB53</f>
        <v>19.921875</v>
      </c>
      <c r="L29" s="498">
        <f t="shared" si="4"/>
        <v>19.921875</v>
      </c>
      <c r="M29" s="500">
        <f t="shared" si="5"/>
        <v>1992.1875</v>
      </c>
      <c r="N29" s="238"/>
      <c r="O29" s="239"/>
      <c r="P29" s="240"/>
      <c r="Q29" s="239"/>
      <c r="R29" s="240"/>
      <c r="S29" s="241"/>
      <c r="T29" s="237"/>
    </row>
    <row r="30" spans="1:20">
      <c r="A30" s="528" t="s">
        <v>170</v>
      </c>
      <c r="B30" s="191"/>
      <c r="C30" s="494">
        <f>'Chemical Plan'!H64</f>
        <v>0</v>
      </c>
      <c r="D30" s="495">
        <f t="shared" si="0"/>
        <v>0</v>
      </c>
      <c r="E30" s="496">
        <f t="shared" si="6"/>
        <v>0</v>
      </c>
      <c r="F30" s="469"/>
      <c r="G30" s="497">
        <f>'Chemical Plan'!R64</f>
        <v>0</v>
      </c>
      <c r="H30" s="498">
        <f t="shared" si="2"/>
        <v>0</v>
      </c>
      <c r="I30" s="499">
        <f t="shared" si="3"/>
        <v>0</v>
      </c>
      <c r="J30" s="469"/>
      <c r="K30" s="497">
        <f>'Chemical Plan'!AB64</f>
        <v>0</v>
      </c>
      <c r="L30" s="498">
        <f t="shared" si="4"/>
        <v>0</v>
      </c>
      <c r="M30" s="500">
        <f t="shared" si="5"/>
        <v>0</v>
      </c>
      <c r="N30" s="238"/>
      <c r="O30" s="239"/>
      <c r="P30" s="240"/>
      <c r="Q30" s="239"/>
      <c r="R30" s="240"/>
      <c r="S30" s="241"/>
      <c r="T30" s="237"/>
    </row>
    <row r="31" spans="1:20">
      <c r="A31" s="459" t="s">
        <v>103</v>
      </c>
      <c r="B31" s="232"/>
      <c r="C31" s="496">
        <f>'Variable &amp; Fixed'!G10</f>
        <v>12.13</v>
      </c>
      <c r="D31" s="495">
        <f t="shared" si="0"/>
        <v>12.13</v>
      </c>
      <c r="E31" s="496">
        <f t="shared" si="6"/>
        <v>1213</v>
      </c>
      <c r="F31" s="469"/>
      <c r="G31" s="499">
        <f>'Variable &amp; Fixed'!L10</f>
        <v>12.29</v>
      </c>
      <c r="H31" s="498">
        <f t="shared" si="2"/>
        <v>12.29</v>
      </c>
      <c r="I31" s="499">
        <f t="shared" si="3"/>
        <v>1229</v>
      </c>
      <c r="J31" s="469"/>
      <c r="K31" s="499">
        <f>'Variable &amp; Fixed'!R10</f>
        <v>13.8</v>
      </c>
      <c r="L31" s="498">
        <f t="shared" si="4"/>
        <v>13.8</v>
      </c>
      <c r="M31" s="500">
        <f t="shared" si="5"/>
        <v>1380</v>
      </c>
      <c r="N31" s="238"/>
      <c r="O31" s="239"/>
      <c r="P31" s="240"/>
      <c r="Q31" s="239"/>
      <c r="R31" s="240"/>
      <c r="S31" s="241"/>
      <c r="T31" s="237"/>
    </row>
    <row r="32" spans="1:20">
      <c r="A32" s="459" t="s">
        <v>429</v>
      </c>
      <c r="B32" s="232"/>
      <c r="C32" s="496">
        <f>'Variable &amp; Fixed'!G11</f>
        <v>3.92</v>
      </c>
      <c r="D32" s="495">
        <f t="shared" si="0"/>
        <v>3.92</v>
      </c>
      <c r="E32" s="496">
        <f t="shared" si="6"/>
        <v>392</v>
      </c>
      <c r="F32" s="469"/>
      <c r="G32" s="499">
        <f>'Variable &amp; Fixed'!L11</f>
        <v>3.07</v>
      </c>
      <c r="H32" s="498">
        <f t="shared" si="2"/>
        <v>3.07</v>
      </c>
      <c r="I32" s="499">
        <f t="shared" si="3"/>
        <v>307</v>
      </c>
      <c r="J32" s="469"/>
      <c r="K32" s="499">
        <f>'Variable &amp; Fixed'!R11</f>
        <v>0</v>
      </c>
      <c r="L32" s="498">
        <f t="shared" si="4"/>
        <v>0</v>
      </c>
      <c r="M32" s="500">
        <f t="shared" si="5"/>
        <v>0</v>
      </c>
      <c r="N32" s="242"/>
      <c r="O32" s="239"/>
      <c r="P32" s="243"/>
      <c r="Q32" s="239"/>
      <c r="R32" s="243"/>
      <c r="S32" s="241"/>
      <c r="T32" s="237"/>
    </row>
    <row r="33" spans="1:22">
      <c r="A33" s="459" t="s">
        <v>109</v>
      </c>
      <c r="B33" s="232"/>
      <c r="C33" s="496">
        <f>'Variable &amp; Fixed'!G12</f>
        <v>0</v>
      </c>
      <c r="D33" s="495">
        <f t="shared" si="0"/>
        <v>0</v>
      </c>
      <c r="E33" s="496"/>
      <c r="F33" s="469"/>
      <c r="G33" s="499">
        <f>'Variable &amp; Fixed'!L12</f>
        <v>0</v>
      </c>
      <c r="H33" s="498">
        <f t="shared" si="2"/>
        <v>0</v>
      </c>
      <c r="I33" s="499"/>
      <c r="J33" s="469"/>
      <c r="K33" s="499">
        <f>'Variable &amp; Fixed'!R12</f>
        <v>0</v>
      </c>
      <c r="L33" s="498">
        <f t="shared" si="4"/>
        <v>0</v>
      </c>
      <c r="M33" s="500"/>
      <c r="N33" s="242" t="e">
        <f>'Variable &amp; Fixed'!#REF!</f>
        <v>#REF!</v>
      </c>
      <c r="O33" s="239" t="e">
        <f>N33*$C$15</f>
        <v>#REF!</v>
      </c>
      <c r="P33" s="243" t="e">
        <f>'Variable &amp; Fixed'!#REF!</f>
        <v>#REF!</v>
      </c>
      <c r="Q33" s="239" t="e">
        <f>P33*$C$15</f>
        <v>#REF!</v>
      </c>
      <c r="R33" s="243" t="e">
        <f>'Variable &amp; Fixed'!#REF!</f>
        <v>#REF!</v>
      </c>
      <c r="S33" s="241" t="e">
        <f>R33*$C$15</f>
        <v>#REF!</v>
      </c>
      <c r="T33" s="237"/>
    </row>
    <row r="34" spans="1:22">
      <c r="A34" s="459" t="s">
        <v>105</v>
      </c>
      <c r="B34" s="232"/>
      <c r="C34" s="496"/>
      <c r="D34" s="495">
        <f t="shared" si="0"/>
        <v>0</v>
      </c>
      <c r="E34" s="496"/>
      <c r="F34" s="469"/>
      <c r="G34" s="499"/>
      <c r="H34" s="498">
        <f t="shared" si="2"/>
        <v>0</v>
      </c>
      <c r="I34" s="499"/>
      <c r="J34" s="469"/>
      <c r="K34" s="499"/>
      <c r="L34" s="498">
        <f t="shared" si="4"/>
        <v>0</v>
      </c>
      <c r="M34" s="500"/>
      <c r="N34" s="242" t="e">
        <f>'Variable &amp; Fixed'!#REF!</f>
        <v>#REF!</v>
      </c>
      <c r="O34" s="239" t="e">
        <f>N34*$C$15</f>
        <v>#REF!</v>
      </c>
      <c r="P34" s="243" t="e">
        <f>'Variable &amp; Fixed'!#REF!</f>
        <v>#REF!</v>
      </c>
      <c r="Q34" s="239" t="e">
        <f>P34*$C$15</f>
        <v>#REF!</v>
      </c>
      <c r="R34" s="243" t="e">
        <f>'Variable &amp; Fixed'!#REF!</f>
        <v>#REF!</v>
      </c>
      <c r="S34" s="241" t="e">
        <f>R34*$C$15</f>
        <v>#REF!</v>
      </c>
      <c r="T34" s="237"/>
    </row>
    <row r="35" spans="1:22">
      <c r="A35" s="529" t="s">
        <v>106</v>
      </c>
      <c r="B35" s="244"/>
      <c r="C35" s="496">
        <f>'Variable &amp; Fixed'!G14</f>
        <v>31.25</v>
      </c>
      <c r="D35" s="495">
        <f t="shared" si="0"/>
        <v>31.25</v>
      </c>
      <c r="E35" s="496">
        <f>C35*$C$15</f>
        <v>3125</v>
      </c>
      <c r="F35" s="469"/>
      <c r="G35" s="499">
        <f>'Variable &amp; Fixed'!L14</f>
        <v>17.809999999999999</v>
      </c>
      <c r="H35" s="498">
        <f t="shared" si="2"/>
        <v>17.809999999999999</v>
      </c>
      <c r="I35" s="499">
        <f t="shared" ref="I35:I50" si="7">G35*$G$15</f>
        <v>1780.9999999999998</v>
      </c>
      <c r="J35" s="469"/>
      <c r="K35" s="499">
        <f>'Variable &amp; Fixed'!R14</f>
        <v>16.43</v>
      </c>
      <c r="L35" s="498">
        <f t="shared" si="4"/>
        <v>16.43</v>
      </c>
      <c r="M35" s="500">
        <f t="shared" ref="M35:M58" si="8">K35*$K$15</f>
        <v>1643</v>
      </c>
      <c r="N35" s="238">
        <v>0</v>
      </c>
      <c r="O35" s="239">
        <f>N35*$C$15</f>
        <v>0</v>
      </c>
      <c r="P35" s="240">
        <v>0</v>
      </c>
      <c r="Q35" s="239">
        <f>P35*$C$15</f>
        <v>0</v>
      </c>
      <c r="R35" s="240">
        <v>0</v>
      </c>
      <c r="S35" s="241">
        <f>R35*$C$15</f>
        <v>0</v>
      </c>
      <c r="T35" s="237"/>
    </row>
    <row r="36" spans="1:22">
      <c r="A36" s="529" t="s">
        <v>107</v>
      </c>
      <c r="B36" s="244"/>
      <c r="C36" s="496">
        <f>'Variable &amp; Fixed'!G15</f>
        <v>17.66</v>
      </c>
      <c r="D36" s="495">
        <f t="shared" si="0"/>
        <v>17.66</v>
      </c>
      <c r="E36" s="496">
        <f>C36*$C$15</f>
        <v>1766</v>
      </c>
      <c r="F36" s="469"/>
      <c r="G36" s="499">
        <f>'Variable &amp; Fixed'!L15</f>
        <v>1.53</v>
      </c>
      <c r="H36" s="498">
        <f t="shared" si="2"/>
        <v>1.53</v>
      </c>
      <c r="I36" s="499">
        <f t="shared" si="7"/>
        <v>153</v>
      </c>
      <c r="J36" s="469"/>
      <c r="K36" s="499">
        <f>'Variable &amp; Fixed'!R15</f>
        <v>1.02</v>
      </c>
      <c r="L36" s="498">
        <f t="shared" si="4"/>
        <v>1.02</v>
      </c>
      <c r="M36" s="500">
        <f t="shared" si="8"/>
        <v>102</v>
      </c>
      <c r="N36" s="242"/>
      <c r="O36" s="239"/>
      <c r="P36" s="243"/>
      <c r="Q36" s="239"/>
      <c r="R36" s="243"/>
      <c r="S36" s="241"/>
      <c r="T36" s="237"/>
    </row>
    <row r="37" spans="1:22">
      <c r="A37" s="459" t="s">
        <v>108</v>
      </c>
      <c r="B37" s="232"/>
      <c r="C37" s="496"/>
      <c r="D37" s="495">
        <f t="shared" si="0"/>
        <v>0</v>
      </c>
      <c r="E37" s="496"/>
      <c r="F37" s="469"/>
      <c r="G37" s="499"/>
      <c r="H37" s="498">
        <f t="shared" si="2"/>
        <v>0</v>
      </c>
      <c r="I37" s="499"/>
      <c r="J37" s="469"/>
      <c r="K37" s="499"/>
      <c r="L37" s="498">
        <f t="shared" si="4"/>
        <v>0</v>
      </c>
      <c r="M37" s="500"/>
      <c r="N37" s="242" t="e">
        <f>'Variable &amp; Fixed'!#REF!</f>
        <v>#REF!</v>
      </c>
      <c r="O37" s="239" t="e">
        <f>N37*$C$15</f>
        <v>#REF!</v>
      </c>
      <c r="P37" s="243" t="e">
        <f>'Variable &amp; Fixed'!#REF!</f>
        <v>#REF!</v>
      </c>
      <c r="Q37" s="239" t="e">
        <f>P37*$C$15</f>
        <v>#REF!</v>
      </c>
      <c r="R37" s="243" t="e">
        <f>'Variable &amp; Fixed'!#REF!</f>
        <v>#REF!</v>
      </c>
      <c r="S37" s="241" t="e">
        <f>R37*$C$15</f>
        <v>#REF!</v>
      </c>
      <c r="T37" s="237"/>
    </row>
    <row r="38" spans="1:22">
      <c r="A38" s="530" t="s">
        <v>430</v>
      </c>
      <c r="B38" s="245"/>
      <c r="C38" s="496">
        <f>'Variable &amp; Fixed'!G17</f>
        <v>63.77</v>
      </c>
      <c r="D38" s="495">
        <f t="shared" si="0"/>
        <v>63.77</v>
      </c>
      <c r="E38" s="496">
        <f t="shared" ref="E38:E46" si="9">C38*$C$15</f>
        <v>6377</v>
      </c>
      <c r="F38" s="469"/>
      <c r="G38" s="499">
        <f>'Variable &amp; Fixed'!L17</f>
        <v>32.450000000000003</v>
      </c>
      <c r="H38" s="498">
        <f t="shared" si="2"/>
        <v>32.450000000000003</v>
      </c>
      <c r="I38" s="499">
        <f t="shared" si="7"/>
        <v>3245.0000000000005</v>
      </c>
      <c r="J38" s="469"/>
      <c r="K38" s="499">
        <f>'Variable &amp; Fixed'!R17</f>
        <v>26.91</v>
      </c>
      <c r="L38" s="498">
        <f t="shared" si="4"/>
        <v>26.91</v>
      </c>
      <c r="M38" s="500">
        <f t="shared" si="8"/>
        <v>2691</v>
      </c>
      <c r="N38" s="242" t="e">
        <f>'Variable &amp; Fixed'!#REF!</f>
        <v>#REF!</v>
      </c>
      <c r="O38" s="239" t="e">
        <f>N38*$C$15</f>
        <v>#REF!</v>
      </c>
      <c r="P38" s="243" t="e">
        <f>'Variable &amp; Fixed'!#REF!</f>
        <v>#REF!</v>
      </c>
      <c r="Q38" s="239" t="e">
        <f>P38*$C$15</f>
        <v>#REF!</v>
      </c>
      <c r="R38" s="243" t="e">
        <f>'Variable &amp; Fixed'!#REF!</f>
        <v>#REF!</v>
      </c>
      <c r="S38" s="241" t="e">
        <f>R38*$C$15</f>
        <v>#REF!</v>
      </c>
      <c r="T38" s="237"/>
    </row>
    <row r="39" spans="1:22">
      <c r="A39" s="530" t="s">
        <v>431</v>
      </c>
      <c r="B39" s="245"/>
      <c r="C39" s="496">
        <f>'Variable &amp; Fixed'!G18</f>
        <v>1.07</v>
      </c>
      <c r="D39" s="495">
        <f t="shared" si="0"/>
        <v>1.07</v>
      </c>
      <c r="E39" s="496">
        <f t="shared" si="9"/>
        <v>107</v>
      </c>
      <c r="F39" s="469"/>
      <c r="G39" s="499">
        <f>'Variable &amp; Fixed'!L18</f>
        <v>0</v>
      </c>
      <c r="H39" s="498">
        <f t="shared" si="2"/>
        <v>0</v>
      </c>
      <c r="I39" s="499">
        <f t="shared" si="7"/>
        <v>0</v>
      </c>
      <c r="J39" s="469"/>
      <c r="K39" s="499">
        <f>'Variable &amp; Fixed'!R18</f>
        <v>0</v>
      </c>
      <c r="L39" s="498">
        <f t="shared" si="4"/>
        <v>0</v>
      </c>
      <c r="M39" s="500">
        <f t="shared" si="8"/>
        <v>0</v>
      </c>
      <c r="N39" s="242" t="e">
        <f>'Variable &amp; Fixed'!#REF!</f>
        <v>#REF!</v>
      </c>
      <c r="O39" s="239" t="e">
        <f>N39*$C$15</f>
        <v>#REF!</v>
      </c>
      <c r="P39" s="243" t="e">
        <f>'Variable &amp; Fixed'!#REF!</f>
        <v>#REF!</v>
      </c>
      <c r="Q39" s="239" t="e">
        <f>P39*$C$15</f>
        <v>#REF!</v>
      </c>
      <c r="R39" s="243" t="e">
        <f>'Variable &amp; Fixed'!#REF!</f>
        <v>#REF!</v>
      </c>
      <c r="S39" s="241" t="e">
        <f>R39*$C$15</f>
        <v>#REF!</v>
      </c>
      <c r="T39" s="237"/>
    </row>
    <row r="40" spans="1:22">
      <c r="A40" s="459" t="s">
        <v>100</v>
      </c>
      <c r="B40" s="232"/>
      <c r="C40" s="496"/>
      <c r="D40" s="495">
        <f t="shared" si="0"/>
        <v>0</v>
      </c>
      <c r="E40" s="496"/>
      <c r="F40" s="469"/>
      <c r="G40" s="499"/>
      <c r="H40" s="498">
        <f t="shared" si="2"/>
        <v>0</v>
      </c>
      <c r="I40" s="499"/>
      <c r="J40" s="469"/>
      <c r="K40" s="499"/>
      <c r="L40" s="498">
        <f t="shared" si="4"/>
        <v>0</v>
      </c>
      <c r="M40" s="500"/>
      <c r="N40" s="242"/>
      <c r="O40" s="239"/>
      <c r="P40" s="243"/>
      <c r="Q40" s="239"/>
      <c r="R40" s="243"/>
      <c r="S40" s="241"/>
      <c r="T40" s="237"/>
    </row>
    <row r="41" spans="1:22">
      <c r="A41" s="529" t="s">
        <v>101</v>
      </c>
      <c r="B41" s="244"/>
      <c r="C41" s="496">
        <f>'Variable &amp; Fixed'!G20</f>
        <v>10.82</v>
      </c>
      <c r="D41" s="495">
        <f t="shared" si="0"/>
        <v>10.82</v>
      </c>
      <c r="E41" s="496">
        <f t="shared" si="9"/>
        <v>1082</v>
      </c>
      <c r="F41" s="469"/>
      <c r="G41" s="499">
        <f>'Variable &amp; Fixed'!L20</f>
        <v>5.85</v>
      </c>
      <c r="H41" s="498">
        <f t="shared" si="2"/>
        <v>5.85</v>
      </c>
      <c r="I41" s="499">
        <f t="shared" si="7"/>
        <v>585</v>
      </c>
      <c r="J41" s="469"/>
      <c r="K41" s="499">
        <f>'Variable &amp; Fixed'!R20</f>
        <v>15.83</v>
      </c>
      <c r="L41" s="498">
        <f t="shared" si="4"/>
        <v>15.83</v>
      </c>
      <c r="M41" s="500">
        <f t="shared" si="8"/>
        <v>1583</v>
      </c>
      <c r="N41" s="242" t="e">
        <f>'Variable &amp; Fixed'!#REF!</f>
        <v>#REF!</v>
      </c>
      <c r="O41" s="239" t="e">
        <f t="shared" ref="O41:O47" si="10">N41*$C$15</f>
        <v>#REF!</v>
      </c>
      <c r="P41" s="243" t="e">
        <f>'Variable &amp; Fixed'!#REF!</f>
        <v>#REF!</v>
      </c>
      <c r="Q41" s="239" t="e">
        <f t="shared" ref="Q41:Q47" si="11">P41*$C$15</f>
        <v>#REF!</v>
      </c>
      <c r="R41" s="243" t="e">
        <f>'Variable &amp; Fixed'!#REF!</f>
        <v>#REF!</v>
      </c>
      <c r="S41" s="241" t="e">
        <f t="shared" ref="S41:S47" si="12">R41*$C$15</f>
        <v>#REF!</v>
      </c>
      <c r="T41" s="237"/>
    </row>
    <row r="42" spans="1:22">
      <c r="A42" s="529" t="s">
        <v>102</v>
      </c>
      <c r="B42" s="244"/>
      <c r="C42" s="496">
        <f>'Variable &amp; Fixed'!G21</f>
        <v>5.88</v>
      </c>
      <c r="D42" s="495">
        <f t="shared" si="0"/>
        <v>5.88</v>
      </c>
      <c r="E42" s="496">
        <f t="shared" si="9"/>
        <v>588</v>
      </c>
      <c r="F42" s="469"/>
      <c r="G42" s="499">
        <f>'Variable &amp; Fixed'!L21</f>
        <v>5.84</v>
      </c>
      <c r="H42" s="498">
        <f t="shared" si="2"/>
        <v>5.84</v>
      </c>
      <c r="I42" s="499">
        <f t="shared" si="7"/>
        <v>584</v>
      </c>
      <c r="J42" s="469"/>
      <c r="K42" s="499">
        <f>'Variable &amp; Fixed'!R21</f>
        <v>0.9</v>
      </c>
      <c r="L42" s="498">
        <f t="shared" si="4"/>
        <v>0.9</v>
      </c>
      <c r="M42" s="500">
        <f t="shared" si="8"/>
        <v>90</v>
      </c>
      <c r="N42" s="242" t="e">
        <f>'Variable &amp; Fixed'!#REF!</f>
        <v>#REF!</v>
      </c>
      <c r="O42" s="239" t="e">
        <f t="shared" si="10"/>
        <v>#REF!</v>
      </c>
      <c r="P42" s="243" t="e">
        <f>'Variable &amp; Fixed'!#REF!</f>
        <v>#REF!</v>
      </c>
      <c r="Q42" s="239" t="e">
        <f t="shared" si="11"/>
        <v>#REF!</v>
      </c>
      <c r="R42" s="243" t="e">
        <f>'Variable &amp; Fixed'!#REF!</f>
        <v>#REF!</v>
      </c>
      <c r="S42" s="241" t="e">
        <f t="shared" si="12"/>
        <v>#REF!</v>
      </c>
      <c r="T42" s="237"/>
    </row>
    <row r="43" spans="1:22">
      <c r="A43" s="529" t="s">
        <v>302</v>
      </c>
      <c r="B43" s="244"/>
      <c r="C43" s="496">
        <f>'Variable &amp; Fixed'!G22</f>
        <v>0</v>
      </c>
      <c r="D43" s="495">
        <f t="shared" si="0"/>
        <v>0</v>
      </c>
      <c r="E43" s="496">
        <f t="shared" si="9"/>
        <v>0</v>
      </c>
      <c r="F43" s="469"/>
      <c r="G43" s="499">
        <f>'Variable &amp; Fixed'!L22</f>
        <v>0</v>
      </c>
      <c r="H43" s="498">
        <f t="shared" si="2"/>
        <v>0</v>
      </c>
      <c r="I43" s="499">
        <f t="shared" si="7"/>
        <v>0</v>
      </c>
      <c r="J43" s="469"/>
      <c r="K43" s="499">
        <f>'Variable &amp; Fixed'!R22</f>
        <v>0</v>
      </c>
      <c r="L43" s="498">
        <f t="shared" si="4"/>
        <v>0</v>
      </c>
      <c r="M43" s="500">
        <f t="shared" si="8"/>
        <v>0</v>
      </c>
      <c r="N43" s="242" t="e">
        <f>'Variable &amp; Fixed'!#REF!</f>
        <v>#REF!</v>
      </c>
      <c r="O43" s="239" t="e">
        <f t="shared" si="10"/>
        <v>#REF!</v>
      </c>
      <c r="P43" s="243" t="e">
        <f>'Variable &amp; Fixed'!#REF!</f>
        <v>#REF!</v>
      </c>
      <c r="Q43" s="239" t="e">
        <f t="shared" si="11"/>
        <v>#REF!</v>
      </c>
      <c r="R43" s="243" t="e">
        <f>'Variable &amp; Fixed'!#REF!</f>
        <v>#REF!</v>
      </c>
      <c r="S43" s="241" t="e">
        <f t="shared" si="12"/>
        <v>#REF!</v>
      </c>
      <c r="T43" s="237"/>
    </row>
    <row r="44" spans="1:22">
      <c r="A44" s="459" t="s">
        <v>104</v>
      </c>
      <c r="B44" s="232"/>
      <c r="C44" s="496">
        <f>'Variable &amp; Fixed'!G23</f>
        <v>2.71</v>
      </c>
      <c r="D44" s="495">
        <f t="shared" si="0"/>
        <v>2.71</v>
      </c>
      <c r="E44" s="496">
        <f t="shared" si="9"/>
        <v>271</v>
      </c>
      <c r="F44" s="469"/>
      <c r="G44" s="499">
        <f>'Variable &amp; Fixed'!L23</f>
        <v>0.88</v>
      </c>
      <c r="H44" s="498">
        <f t="shared" si="2"/>
        <v>0.88</v>
      </c>
      <c r="I44" s="499">
        <f t="shared" si="7"/>
        <v>88</v>
      </c>
      <c r="J44" s="469"/>
      <c r="K44" s="499">
        <f>'Variable &amp; Fixed'!R23</f>
        <v>3.65</v>
      </c>
      <c r="L44" s="498">
        <f t="shared" si="4"/>
        <v>3.65</v>
      </c>
      <c r="M44" s="500">
        <f t="shared" si="8"/>
        <v>365</v>
      </c>
      <c r="N44" s="242" t="e">
        <f>'Variable &amp; Fixed'!#REF!</f>
        <v>#REF!</v>
      </c>
      <c r="O44" s="239" t="e">
        <f t="shared" si="10"/>
        <v>#REF!</v>
      </c>
      <c r="P44" s="243" t="e">
        <f>'Variable &amp; Fixed'!#REF!</f>
        <v>#REF!</v>
      </c>
      <c r="Q44" s="239" t="e">
        <f t="shared" si="11"/>
        <v>#REF!</v>
      </c>
      <c r="R44" s="243" t="e">
        <f>'Variable &amp; Fixed'!#REF!</f>
        <v>#REF!</v>
      </c>
      <c r="S44" s="241" t="e">
        <f t="shared" si="12"/>
        <v>#REF!</v>
      </c>
      <c r="T44" s="237"/>
    </row>
    <row r="45" spans="1:22">
      <c r="A45" s="459" t="s">
        <v>110</v>
      </c>
      <c r="B45" s="232"/>
      <c r="C45" s="496">
        <f>'Variable &amp; Fixed'!G24</f>
        <v>2.08</v>
      </c>
      <c r="D45" s="495">
        <f t="shared" si="0"/>
        <v>2.08</v>
      </c>
      <c r="E45" s="496">
        <f t="shared" si="9"/>
        <v>208</v>
      </c>
      <c r="F45" s="469"/>
      <c r="G45" s="499">
        <f>'Variable &amp; Fixed'!L24</f>
        <v>0.5</v>
      </c>
      <c r="H45" s="498">
        <f t="shared" si="2"/>
        <v>0.5</v>
      </c>
      <c r="I45" s="499">
        <f t="shared" si="7"/>
        <v>50</v>
      </c>
      <c r="J45" s="469"/>
      <c r="K45" s="499">
        <f>'Variable &amp; Fixed'!R24</f>
        <v>0.9</v>
      </c>
      <c r="L45" s="498">
        <f t="shared" si="4"/>
        <v>0.9</v>
      </c>
      <c r="M45" s="500">
        <f t="shared" si="8"/>
        <v>90</v>
      </c>
      <c r="N45" s="242" t="e">
        <f>'Variable &amp; Fixed'!#REF!</f>
        <v>#REF!</v>
      </c>
      <c r="O45" s="239" t="e">
        <f t="shared" si="10"/>
        <v>#REF!</v>
      </c>
      <c r="P45" s="243" t="e">
        <f>'Variable &amp; Fixed'!#REF!</f>
        <v>#REF!</v>
      </c>
      <c r="Q45" s="239" t="e">
        <f t="shared" si="11"/>
        <v>#REF!</v>
      </c>
      <c r="R45" s="243" t="e">
        <f>'Variable &amp; Fixed'!#REF!</f>
        <v>#REF!</v>
      </c>
      <c r="S45" s="241" t="e">
        <f t="shared" si="12"/>
        <v>#REF!</v>
      </c>
      <c r="T45" s="237"/>
    </row>
    <row r="46" spans="1:22">
      <c r="A46" s="459" t="s">
        <v>111</v>
      </c>
      <c r="B46" s="232"/>
      <c r="C46" s="496">
        <f>'Variable &amp; Fixed'!G25</f>
        <v>16.260000000000002</v>
      </c>
      <c r="D46" s="495">
        <f t="shared" si="0"/>
        <v>16.260000000000002</v>
      </c>
      <c r="E46" s="496">
        <f t="shared" si="9"/>
        <v>1626.0000000000002</v>
      </c>
      <c r="F46" s="469"/>
      <c r="G46" s="499">
        <f>'Variable &amp; Fixed'!L25</f>
        <v>10.38</v>
      </c>
      <c r="H46" s="498">
        <f t="shared" si="2"/>
        <v>10.38</v>
      </c>
      <c r="I46" s="499">
        <f t="shared" si="7"/>
        <v>1038</v>
      </c>
      <c r="J46" s="469"/>
      <c r="K46" s="499">
        <f>'Variable &amp; Fixed'!R25</f>
        <v>8.3000000000000007</v>
      </c>
      <c r="L46" s="498">
        <f t="shared" si="4"/>
        <v>8.3000000000000007</v>
      </c>
      <c r="M46" s="500">
        <f t="shared" si="8"/>
        <v>830.00000000000011</v>
      </c>
      <c r="N46" s="242" t="e">
        <f>'Variable &amp; Fixed'!#REF!</f>
        <v>#REF!</v>
      </c>
      <c r="O46" s="239" t="e">
        <f t="shared" si="10"/>
        <v>#REF!</v>
      </c>
      <c r="P46" s="243" t="e">
        <f>'Variable &amp; Fixed'!#REF!</f>
        <v>#REF!</v>
      </c>
      <c r="Q46" s="239" t="e">
        <f t="shared" si="11"/>
        <v>#REF!</v>
      </c>
      <c r="R46" s="243" t="e">
        <f>'Variable &amp; Fixed'!#REF!</f>
        <v>#REF!</v>
      </c>
      <c r="S46" s="241" t="e">
        <f t="shared" si="12"/>
        <v>#REF!</v>
      </c>
      <c r="T46" s="237"/>
    </row>
    <row r="47" spans="1:22">
      <c r="A47" s="459" t="s">
        <v>112</v>
      </c>
      <c r="B47" s="232"/>
      <c r="C47" s="496"/>
      <c r="D47" s="495">
        <f t="shared" si="0"/>
        <v>0</v>
      </c>
      <c r="E47" s="496"/>
      <c r="F47" s="469"/>
      <c r="G47" s="499"/>
      <c r="H47" s="498">
        <f t="shared" si="2"/>
        <v>0</v>
      </c>
      <c r="I47" s="499"/>
      <c r="J47" s="469"/>
      <c r="K47" s="499"/>
      <c r="L47" s="498">
        <f t="shared" si="4"/>
        <v>0</v>
      </c>
      <c r="M47" s="500"/>
      <c r="N47" s="242" t="e">
        <f>'Variable &amp; Fixed'!#REF!</f>
        <v>#REF!</v>
      </c>
      <c r="O47" s="239" t="e">
        <f t="shared" si="10"/>
        <v>#REF!</v>
      </c>
      <c r="P47" s="243" t="e">
        <f>'Variable &amp; Fixed'!#REF!</f>
        <v>#REF!</v>
      </c>
      <c r="Q47" s="239" t="e">
        <f t="shared" si="11"/>
        <v>#REF!</v>
      </c>
      <c r="R47" s="243" t="e">
        <f>'Variable &amp; Fixed'!#REF!</f>
        <v>#REF!</v>
      </c>
      <c r="S47" s="241" t="e">
        <f t="shared" si="12"/>
        <v>#REF!</v>
      </c>
      <c r="T47" s="237"/>
      <c r="V47" s="426"/>
    </row>
    <row r="48" spans="1:22">
      <c r="A48" s="529" t="s">
        <v>132</v>
      </c>
      <c r="B48" s="244"/>
      <c r="C48" s="496">
        <f>'Variable &amp; Fixed'!G27</f>
        <v>0</v>
      </c>
      <c r="D48" s="495">
        <f t="shared" si="0"/>
        <v>0</v>
      </c>
      <c r="E48" s="496">
        <f>C48*$C$15</f>
        <v>0</v>
      </c>
      <c r="F48" s="469"/>
      <c r="G48" s="499">
        <f>'Variable &amp; Fixed'!L27</f>
        <v>0</v>
      </c>
      <c r="H48" s="498">
        <f t="shared" si="2"/>
        <v>0</v>
      </c>
      <c r="I48" s="499">
        <f t="shared" si="7"/>
        <v>0</v>
      </c>
      <c r="J48" s="469"/>
      <c r="K48" s="499">
        <f>'Variable &amp; Fixed'!R27</f>
        <v>0</v>
      </c>
      <c r="L48" s="498">
        <f t="shared" si="4"/>
        <v>0</v>
      </c>
      <c r="M48" s="500">
        <f t="shared" si="8"/>
        <v>0</v>
      </c>
      <c r="N48" s="242"/>
      <c r="O48" s="239"/>
      <c r="P48" s="243"/>
      <c r="Q48" s="239"/>
      <c r="R48" s="243"/>
      <c r="S48" s="241"/>
      <c r="T48" s="237"/>
      <c r="V48" s="426"/>
    </row>
    <row r="49" spans="1:22">
      <c r="A49" s="529" t="s">
        <v>133</v>
      </c>
      <c r="B49" s="244"/>
      <c r="C49" s="496">
        <f>'Variable &amp; Fixed'!G28</f>
        <v>0</v>
      </c>
      <c r="D49" s="495">
        <f t="shared" si="0"/>
        <v>0</v>
      </c>
      <c r="E49" s="496">
        <f>C49*$C$15</f>
        <v>0</v>
      </c>
      <c r="F49" s="372"/>
      <c r="G49" s="499">
        <f>'Variable &amp; Fixed'!L28</f>
        <v>0</v>
      </c>
      <c r="H49" s="498">
        <f t="shared" si="2"/>
        <v>0</v>
      </c>
      <c r="I49" s="499">
        <f t="shared" si="7"/>
        <v>0</v>
      </c>
      <c r="J49" s="372"/>
      <c r="K49" s="499">
        <f>'Variable &amp; Fixed'!R28</f>
        <v>0</v>
      </c>
      <c r="L49" s="498">
        <f t="shared" si="4"/>
        <v>0</v>
      </c>
      <c r="M49" s="500">
        <f t="shared" si="8"/>
        <v>0</v>
      </c>
      <c r="N49" s="242" t="e">
        <f>'Variable &amp; Fixed'!#REF!</f>
        <v>#REF!</v>
      </c>
      <c r="O49" s="239" t="e">
        <f>N49*$C$15</f>
        <v>#REF!</v>
      </c>
      <c r="P49" s="243" t="e">
        <f>'Variable &amp; Fixed'!#REF!</f>
        <v>#REF!</v>
      </c>
      <c r="Q49" s="239" t="e">
        <f>P49*$C$15</f>
        <v>#REF!</v>
      </c>
      <c r="R49" s="243" t="e">
        <f>'Variable &amp; Fixed'!#REF!</f>
        <v>#REF!</v>
      </c>
      <c r="S49" s="241" t="e">
        <f>R49*$C$15</f>
        <v>#REF!</v>
      </c>
      <c r="T49" s="237"/>
      <c r="V49" s="426"/>
    </row>
    <row r="50" spans="1:22">
      <c r="A50" s="459" t="s">
        <v>597</v>
      </c>
      <c r="B50" s="232"/>
      <c r="C50" s="496">
        <f>'Variable &amp; Fixed'!G29</f>
        <v>0</v>
      </c>
      <c r="D50" s="495">
        <f t="shared" si="0"/>
        <v>0</v>
      </c>
      <c r="E50" s="496">
        <f t="shared" ref="E50" si="13">C50*$C$15</f>
        <v>0</v>
      </c>
      <c r="F50" s="372"/>
      <c r="G50" s="499">
        <f>'Variable &amp; Fixed'!L29</f>
        <v>1.78</v>
      </c>
      <c r="H50" s="498">
        <f t="shared" si="2"/>
        <v>1.78</v>
      </c>
      <c r="I50" s="499">
        <f t="shared" si="7"/>
        <v>178</v>
      </c>
      <c r="J50" s="372"/>
      <c r="K50" s="499">
        <f>'Variable &amp; Fixed'!R29</f>
        <v>2.35</v>
      </c>
      <c r="L50" s="498">
        <f t="shared" si="4"/>
        <v>2.35</v>
      </c>
      <c r="M50" s="500">
        <f t="shared" si="8"/>
        <v>235</v>
      </c>
      <c r="N50" s="242"/>
      <c r="O50" s="239"/>
      <c r="P50" s="243"/>
      <c r="Q50" s="239"/>
      <c r="R50" s="243"/>
      <c r="S50" s="241"/>
      <c r="T50" s="237"/>
    </row>
    <row r="51" spans="1:22">
      <c r="A51" s="459" t="s">
        <v>595</v>
      </c>
      <c r="B51" s="217"/>
      <c r="C51" s="499">
        <f>'Variable &amp; Fixed'!G30</f>
        <v>31.64</v>
      </c>
      <c r="D51" s="495">
        <f>C51</f>
        <v>31.64</v>
      </c>
      <c r="E51" s="499">
        <f>C51*$C$15</f>
        <v>3164</v>
      </c>
      <c r="F51" s="372"/>
      <c r="G51" s="499">
        <f>'Variable &amp; Fixed'!L30</f>
        <v>20.27</v>
      </c>
      <c r="H51" s="498">
        <f>G51</f>
        <v>20.27</v>
      </c>
      <c r="I51" s="499">
        <f>G51*$G$15</f>
        <v>2027</v>
      </c>
      <c r="J51" s="372"/>
      <c r="K51" s="499">
        <f>'Variable &amp; Fixed'!R30</f>
        <v>22.41</v>
      </c>
      <c r="L51" s="498">
        <f>K51</f>
        <v>22.41</v>
      </c>
      <c r="M51" s="500">
        <f>K51*$K$15</f>
        <v>2241</v>
      </c>
      <c r="N51" s="242"/>
      <c r="O51" s="239"/>
      <c r="P51" s="243"/>
      <c r="Q51" s="239"/>
      <c r="R51" s="243"/>
      <c r="S51" s="241"/>
      <c r="T51" s="237"/>
    </row>
    <row r="52" spans="1:22">
      <c r="A52" s="459" t="s">
        <v>748</v>
      </c>
      <c r="B52" s="232"/>
      <c r="C52" s="499">
        <f>'Loans &amp; Financing'!T10</f>
        <v>8.3333333333333339</v>
      </c>
      <c r="D52" s="495">
        <f>C52</f>
        <v>8.3333333333333339</v>
      </c>
      <c r="E52" s="499">
        <f>C52*$C$15</f>
        <v>833.33333333333337</v>
      </c>
      <c r="F52" s="469"/>
      <c r="G52" s="499">
        <f>'Loans &amp; Financing'!U10</f>
        <v>8.3333333333333339</v>
      </c>
      <c r="H52" s="498">
        <f>G52</f>
        <v>8.3333333333333339</v>
      </c>
      <c r="I52" s="499">
        <f>G52*$G$15</f>
        <v>833.33333333333337</v>
      </c>
      <c r="J52" s="469"/>
      <c r="K52" s="497">
        <f>'Loans &amp; Financing'!V10</f>
        <v>8.3333333333333339</v>
      </c>
      <c r="L52" s="498">
        <f>K52</f>
        <v>8.3333333333333339</v>
      </c>
      <c r="M52" s="500">
        <f>K52*$K$15</f>
        <v>833.33333333333337</v>
      </c>
      <c r="N52" s="242"/>
      <c r="O52" s="239"/>
      <c r="P52" s="243"/>
      <c r="Q52" s="239"/>
      <c r="R52" s="243"/>
      <c r="S52" s="241"/>
      <c r="T52" s="237"/>
    </row>
    <row r="53" spans="1:22">
      <c r="A53" s="525" t="s">
        <v>596</v>
      </c>
      <c r="B53" s="232"/>
      <c r="C53" s="499">
        <f>'Variable &amp; Fixed'!G31</f>
        <v>0</v>
      </c>
      <c r="D53" s="495">
        <f>C53</f>
        <v>0</v>
      </c>
      <c r="E53" s="499">
        <f>C53*$C$15</f>
        <v>0</v>
      </c>
      <c r="F53" s="469"/>
      <c r="G53" s="499">
        <f>'Variable &amp; Fixed'!L31</f>
        <v>0</v>
      </c>
      <c r="H53" s="498">
        <f>G53</f>
        <v>0</v>
      </c>
      <c r="I53" s="499">
        <f>G53*$G$15</f>
        <v>0</v>
      </c>
      <c r="J53" s="469"/>
      <c r="K53" s="497">
        <f>'Variable &amp; Fixed'!R31</f>
        <v>0</v>
      </c>
      <c r="L53" s="498">
        <f>K53</f>
        <v>0</v>
      </c>
      <c r="M53" s="500">
        <f>K53*$K$15</f>
        <v>0</v>
      </c>
      <c r="N53" s="242"/>
      <c r="O53" s="239"/>
      <c r="P53" s="243"/>
      <c r="Q53" s="239"/>
      <c r="R53" s="243"/>
      <c r="S53" s="241"/>
      <c r="T53" s="237"/>
      <c r="V53" s="426"/>
    </row>
    <row r="54" spans="1:22" ht="19.5" thickBot="1">
      <c r="A54" s="527" t="s">
        <v>743</v>
      </c>
      <c r="B54" s="186"/>
      <c r="C54" s="501">
        <f>SUM(C25:C53)</f>
        <v>480.01088333333325</v>
      </c>
      <c r="D54" s="502"/>
      <c r="E54" s="503">
        <f>SUM(E25:E53)</f>
        <v>48001.088333333333</v>
      </c>
      <c r="F54" s="504"/>
      <c r="G54" s="505">
        <f>SUM(G25:G53)</f>
        <v>253.81395833333332</v>
      </c>
      <c r="H54" s="484"/>
      <c r="I54" s="506">
        <f>SUM(I25:I53)</f>
        <v>25381.395833333332</v>
      </c>
      <c r="J54" s="504"/>
      <c r="K54" s="505">
        <f>SUM(K25:K53)</f>
        <v>275.72241666666673</v>
      </c>
      <c r="L54" s="484"/>
      <c r="M54" s="507">
        <f>SUM(M25:M53)</f>
        <v>27572.241666666665</v>
      </c>
      <c r="N54" s="242"/>
      <c r="O54" s="239"/>
      <c r="P54" s="243"/>
      <c r="Q54" s="239"/>
      <c r="R54" s="243"/>
      <c r="S54" s="241"/>
      <c r="T54" s="237"/>
      <c r="V54" s="426"/>
    </row>
    <row r="55" spans="1:22" ht="19.5" thickTop="1">
      <c r="A55" s="396" t="s">
        <v>740</v>
      </c>
      <c r="B55" s="397"/>
      <c r="C55" s="508">
        <f>C21-C54</f>
        <v>231.66111666666677</v>
      </c>
      <c r="D55" s="509"/>
      <c r="E55" s="508">
        <f>C55*C15</f>
        <v>23166.111666666679</v>
      </c>
      <c r="F55" s="510"/>
      <c r="G55" s="508">
        <f>G21-G54</f>
        <v>230.81104166666668</v>
      </c>
      <c r="H55" s="509"/>
      <c r="I55" s="508">
        <f>G55*G15</f>
        <v>23081.104166666668</v>
      </c>
      <c r="J55" s="510"/>
      <c r="K55" s="508">
        <f>K21-K54</f>
        <v>141.49028333333325</v>
      </c>
      <c r="L55" s="509"/>
      <c r="M55" s="511">
        <f>K55*K15</f>
        <v>14149.028333333325</v>
      </c>
      <c r="N55" s="242"/>
      <c r="O55" s="239"/>
      <c r="P55" s="243"/>
      <c r="Q55" s="239"/>
      <c r="R55" s="243"/>
      <c r="S55" s="241"/>
      <c r="T55" s="237"/>
      <c r="V55" s="426"/>
    </row>
    <row r="56" spans="1:22">
      <c r="A56" s="188"/>
      <c r="B56" s="370"/>
      <c r="C56" s="512"/>
      <c r="D56" s="513"/>
      <c r="E56" s="470"/>
      <c r="F56" s="469"/>
      <c r="G56" s="512"/>
      <c r="H56" s="472"/>
      <c r="I56" s="470"/>
      <c r="J56" s="469"/>
      <c r="K56" s="512"/>
      <c r="L56" s="472"/>
      <c r="M56" s="467"/>
      <c r="N56" s="238"/>
      <c r="O56" s="239"/>
      <c r="P56" s="240"/>
      <c r="Q56" s="239"/>
      <c r="R56" s="240"/>
      <c r="S56" s="241"/>
      <c r="T56" s="196"/>
    </row>
    <row r="57" spans="1:22">
      <c r="A57" s="523" t="s">
        <v>744</v>
      </c>
      <c r="B57" s="157"/>
      <c r="C57" s="490" t="s">
        <v>79</v>
      </c>
      <c r="D57" s="491"/>
      <c r="E57" s="492" t="s">
        <v>481</v>
      </c>
      <c r="F57" s="480"/>
      <c r="G57" s="490" t="s">
        <v>79</v>
      </c>
      <c r="H57" s="491"/>
      <c r="I57" s="492" t="s">
        <v>481</v>
      </c>
      <c r="J57" s="480"/>
      <c r="K57" s="490" t="s">
        <v>79</v>
      </c>
      <c r="L57" s="491"/>
      <c r="M57" s="493" t="s">
        <v>481</v>
      </c>
      <c r="N57" s="242" t="e">
        <f>'Variable &amp; Fixed'!#REF!</f>
        <v>#REF!</v>
      </c>
      <c r="O57" s="239" t="e">
        <f>N57*$C$15</f>
        <v>#REF!</v>
      </c>
      <c r="P57" s="243" t="e">
        <f>'Variable &amp; Fixed'!#REF!</f>
        <v>#REF!</v>
      </c>
      <c r="Q57" s="239" t="e">
        <f>P57*$C$15</f>
        <v>#REF!</v>
      </c>
      <c r="R57" s="243" t="e">
        <f>'Variable &amp; Fixed'!#REF!</f>
        <v>#REF!</v>
      </c>
      <c r="S57" s="241" t="e">
        <f>R57*$C$15</f>
        <v>#REF!</v>
      </c>
      <c r="T57" s="237"/>
    </row>
    <row r="58" spans="1:22">
      <c r="A58" s="524" t="s">
        <v>432</v>
      </c>
      <c r="B58" s="217"/>
      <c r="C58" s="514">
        <f>'Variable &amp; Fixed'!G35</f>
        <v>12.95</v>
      </c>
      <c r="D58" s="498">
        <f t="shared" ref="D58:D62" si="14">C58</f>
        <v>12.95</v>
      </c>
      <c r="E58" s="514">
        <f t="shared" ref="E58" si="15">C58*$C$15</f>
        <v>1295</v>
      </c>
      <c r="F58" s="469"/>
      <c r="G58" s="514">
        <f>'Variable &amp; Fixed'!L35</f>
        <v>10.199999999999999</v>
      </c>
      <c r="H58" s="498">
        <f t="shared" ref="H58:H62" si="16">G58</f>
        <v>10.199999999999999</v>
      </c>
      <c r="I58" s="514">
        <f>G58*$G$15</f>
        <v>1019.9999999999999</v>
      </c>
      <c r="J58" s="469"/>
      <c r="K58" s="514">
        <f>'Variable &amp; Fixed'!R35</f>
        <v>8.57</v>
      </c>
      <c r="L58" s="498">
        <f t="shared" ref="L58:L62" si="17">K58</f>
        <v>8.57</v>
      </c>
      <c r="M58" s="500">
        <f t="shared" si="8"/>
        <v>857</v>
      </c>
      <c r="N58" s="242" t="e">
        <f>'Variable &amp; Fixed'!#REF!</f>
        <v>#REF!</v>
      </c>
      <c r="O58" s="239" t="e">
        <f>N58*$C$15</f>
        <v>#REF!</v>
      </c>
      <c r="P58" s="243" t="e">
        <f>'Variable &amp; Fixed'!#REF!</f>
        <v>#REF!</v>
      </c>
      <c r="Q58" s="239" t="e">
        <f>P58*$C$15</f>
        <v>#REF!</v>
      </c>
      <c r="R58" s="243" t="e">
        <f>'Variable &amp; Fixed'!#REF!</f>
        <v>#REF!</v>
      </c>
      <c r="S58" s="241" t="e">
        <f>R58*$C$15</f>
        <v>#REF!</v>
      </c>
      <c r="T58" s="237"/>
    </row>
    <row r="59" spans="1:22">
      <c r="A59" s="459" t="s">
        <v>606</v>
      </c>
      <c r="B59" s="217"/>
      <c r="C59" s="499">
        <f>'Variable &amp; Fixed'!G36</f>
        <v>12.08</v>
      </c>
      <c r="D59" s="498">
        <f t="shared" si="14"/>
        <v>12.08</v>
      </c>
      <c r="E59" s="499">
        <f>C59*$C$15</f>
        <v>1208</v>
      </c>
      <c r="F59" s="469"/>
      <c r="G59" s="499">
        <f>'Variable &amp; Fixed'!L36</f>
        <v>10.63</v>
      </c>
      <c r="H59" s="498">
        <f t="shared" si="16"/>
        <v>10.63</v>
      </c>
      <c r="I59" s="499">
        <f>G59*$G$15</f>
        <v>1063</v>
      </c>
      <c r="J59" s="469"/>
      <c r="K59" s="499">
        <f>'Variable &amp; Fixed'!R36</f>
        <v>9.6300000000000008</v>
      </c>
      <c r="L59" s="498">
        <f t="shared" si="17"/>
        <v>9.6300000000000008</v>
      </c>
      <c r="M59" s="500">
        <f>K59*$K$15</f>
        <v>963.00000000000011</v>
      </c>
      <c r="N59" s="238"/>
      <c r="O59" s="239"/>
      <c r="P59" s="240"/>
      <c r="Q59" s="239"/>
      <c r="R59" s="240"/>
      <c r="S59" s="241"/>
      <c r="T59" s="196"/>
      <c r="V59" s="426"/>
    </row>
    <row r="60" spans="1:22">
      <c r="A60" s="459" t="s">
        <v>306</v>
      </c>
      <c r="B60" s="232"/>
      <c r="C60" s="496">
        <f>'Variable &amp; Fixed'!G37</f>
        <v>89.55</v>
      </c>
      <c r="D60" s="498">
        <f t="shared" si="14"/>
        <v>89.55</v>
      </c>
      <c r="E60" s="496">
        <f>C60*$C$15</f>
        <v>8955</v>
      </c>
      <c r="F60" s="469"/>
      <c r="G60" s="499">
        <f>'Variable &amp; Fixed'!L37</f>
        <v>98.29</v>
      </c>
      <c r="H60" s="498">
        <f t="shared" si="16"/>
        <v>98.29</v>
      </c>
      <c r="I60" s="499">
        <f>G60*$G$15</f>
        <v>9829</v>
      </c>
      <c r="J60" s="469"/>
      <c r="K60" s="499">
        <f>'Variable &amp; Fixed'!R37</f>
        <v>64.28</v>
      </c>
      <c r="L60" s="498">
        <f t="shared" si="17"/>
        <v>64.28</v>
      </c>
      <c r="M60" s="500">
        <f>K60*$K$15</f>
        <v>6428</v>
      </c>
      <c r="N60" s="246"/>
      <c r="O60" s="247"/>
      <c r="P60" s="246"/>
      <c r="Q60" s="247"/>
      <c r="R60" s="246"/>
      <c r="S60" s="248"/>
      <c r="T60" s="196"/>
      <c r="V60" s="426"/>
    </row>
    <row r="61" spans="1:22">
      <c r="A61" s="459" t="s">
        <v>747</v>
      </c>
      <c r="B61" s="217"/>
      <c r="C61" s="499">
        <f>'Capital &amp; Opportunity'!C12</f>
        <v>66.040000000000006</v>
      </c>
      <c r="D61" s="498">
        <f t="shared" si="14"/>
        <v>66.040000000000006</v>
      </c>
      <c r="E61" s="499">
        <f>C61*$C$15</f>
        <v>6604.0000000000009</v>
      </c>
      <c r="F61" s="469"/>
      <c r="G61" s="499">
        <f>'Capital &amp; Opportunity'!D12</f>
        <v>66.040000000000006</v>
      </c>
      <c r="H61" s="498">
        <f t="shared" si="16"/>
        <v>66.040000000000006</v>
      </c>
      <c r="I61" s="499">
        <f>G61*$G$15</f>
        <v>6604.0000000000009</v>
      </c>
      <c r="J61" s="469"/>
      <c r="K61" s="499">
        <f>'Capital &amp; Opportunity'!E12</f>
        <v>66.040000000000006</v>
      </c>
      <c r="L61" s="498">
        <f t="shared" si="17"/>
        <v>66.040000000000006</v>
      </c>
      <c r="M61" s="500">
        <f>K61*$K$15</f>
        <v>6604.0000000000009</v>
      </c>
      <c r="N61" s="246"/>
      <c r="O61" s="247"/>
      <c r="P61" s="246"/>
      <c r="Q61" s="247"/>
      <c r="R61" s="246"/>
      <c r="S61" s="248"/>
      <c r="T61" s="196"/>
      <c r="V61" s="426"/>
    </row>
    <row r="62" spans="1:22">
      <c r="A62" s="525" t="s">
        <v>596</v>
      </c>
      <c r="B62" s="217"/>
      <c r="C62" s="496">
        <f>'Variable &amp; Fixed'!G38</f>
        <v>15.77</v>
      </c>
      <c r="D62" s="498">
        <f t="shared" si="14"/>
        <v>15.77</v>
      </c>
      <c r="E62" s="496">
        <f>C62*$C$15</f>
        <v>1577</v>
      </c>
      <c r="F62" s="469"/>
      <c r="G62" s="499">
        <f>'Variable &amp; Fixed'!L38</f>
        <v>3.89</v>
      </c>
      <c r="H62" s="498">
        <f t="shared" si="16"/>
        <v>3.89</v>
      </c>
      <c r="I62" s="499">
        <f>G62*$G$15</f>
        <v>389</v>
      </c>
      <c r="J62" s="469"/>
      <c r="K62" s="499">
        <f>'Variable &amp; Fixed'!R38</f>
        <v>0</v>
      </c>
      <c r="L62" s="498">
        <f t="shared" si="17"/>
        <v>0</v>
      </c>
      <c r="M62" s="500">
        <f>K62*$K$15</f>
        <v>0</v>
      </c>
      <c r="N62" s="246"/>
      <c r="O62" s="247"/>
      <c r="P62" s="246"/>
      <c r="Q62" s="247"/>
      <c r="R62" s="246"/>
      <c r="S62" s="248"/>
      <c r="T62" s="196"/>
    </row>
    <row r="63" spans="1:22">
      <c r="A63" s="526" t="s">
        <v>741</v>
      </c>
      <c r="B63" s="186"/>
      <c r="C63" s="515">
        <f>SUM(C58:C62)</f>
        <v>196.39000000000001</v>
      </c>
      <c r="D63" s="516"/>
      <c r="E63" s="515">
        <f>SUM(E58:E62)</f>
        <v>19639</v>
      </c>
      <c r="F63" s="504"/>
      <c r="G63" s="515">
        <f>SUM(G58:G62)</f>
        <v>189.05</v>
      </c>
      <c r="H63" s="516"/>
      <c r="I63" s="515">
        <f>SUM(I58:I62)</f>
        <v>18905</v>
      </c>
      <c r="J63" s="504"/>
      <c r="K63" s="515">
        <f>SUM(K58:K62)</f>
        <v>148.52000000000001</v>
      </c>
      <c r="L63" s="516"/>
      <c r="M63" s="517">
        <f>SUM(M58:M62)</f>
        <v>14852</v>
      </c>
      <c r="N63" s="238"/>
      <c r="O63" s="239"/>
      <c r="P63" s="240"/>
      <c r="Q63" s="239"/>
      <c r="R63" s="240"/>
      <c r="S63" s="241"/>
      <c r="T63" s="196"/>
    </row>
    <row r="64" spans="1:22" ht="19.5" thickBot="1">
      <c r="A64" s="527" t="s">
        <v>742</v>
      </c>
      <c r="B64" s="186"/>
      <c r="C64" s="518">
        <f>C54+C63</f>
        <v>676.40088333333324</v>
      </c>
      <c r="D64" s="484"/>
      <c r="E64" s="518">
        <f>E54+E63</f>
        <v>67640.088333333333</v>
      </c>
      <c r="F64" s="504"/>
      <c r="G64" s="518">
        <f>G54+G63</f>
        <v>442.86395833333336</v>
      </c>
      <c r="H64" s="484"/>
      <c r="I64" s="518">
        <f>I54+I63</f>
        <v>44286.395833333328</v>
      </c>
      <c r="J64" s="504"/>
      <c r="K64" s="518">
        <f>K54+K63</f>
        <v>424.24241666666671</v>
      </c>
      <c r="L64" s="484"/>
      <c r="M64" s="519">
        <f>M54+M63</f>
        <v>42424.241666666669</v>
      </c>
      <c r="N64" s="238"/>
      <c r="O64" s="239"/>
      <c r="P64" s="240"/>
      <c r="Q64" s="239"/>
      <c r="R64" s="240"/>
      <c r="S64" s="241"/>
      <c r="T64" s="196"/>
    </row>
    <row r="65" spans="1:22" ht="19.5" thickTop="1">
      <c r="A65" s="398" t="s">
        <v>746</v>
      </c>
      <c r="B65" s="399"/>
      <c r="C65" s="520">
        <f>C21-C64</f>
        <v>35.271116666666785</v>
      </c>
      <c r="D65" s="520"/>
      <c r="E65" s="520">
        <f>C65*C15</f>
        <v>3527.1116666666785</v>
      </c>
      <c r="F65" s="521"/>
      <c r="G65" s="520">
        <f>G21-G64</f>
        <v>41.761041666666642</v>
      </c>
      <c r="H65" s="520"/>
      <c r="I65" s="520">
        <f>G65*G15</f>
        <v>4176.1041666666642</v>
      </c>
      <c r="J65" s="521"/>
      <c r="K65" s="520">
        <f>K21-K64</f>
        <v>-7.0297166666667295</v>
      </c>
      <c r="L65" s="520"/>
      <c r="M65" s="522">
        <f>K65*K15</f>
        <v>-702.97166666667295</v>
      </c>
      <c r="N65" s="246"/>
      <c r="O65" s="247"/>
      <c r="P65" s="246"/>
      <c r="Q65" s="247"/>
      <c r="R65" s="246"/>
      <c r="S65" s="247"/>
      <c r="T65" s="196"/>
      <c r="V65" s="426"/>
    </row>
    <row r="66" spans="1:22" ht="19.5" thickBot="1">
      <c r="A66" s="395"/>
      <c r="B66" s="180"/>
      <c r="C66" s="392"/>
      <c r="D66" s="272"/>
      <c r="E66" s="393"/>
      <c r="F66" s="271"/>
      <c r="G66" s="392"/>
      <c r="H66" s="272"/>
      <c r="I66" s="393"/>
      <c r="J66" s="271"/>
      <c r="K66" s="392"/>
      <c r="L66" s="272"/>
      <c r="M66" s="394"/>
      <c r="N66" s="246"/>
      <c r="O66" s="247"/>
      <c r="P66" s="246"/>
      <c r="Q66" s="247"/>
      <c r="R66" s="246"/>
      <c r="S66" s="247"/>
      <c r="T66" s="196"/>
      <c r="V66" s="426"/>
    </row>
    <row r="67" spans="1:22">
      <c r="A67" s="837" t="s">
        <v>647</v>
      </c>
      <c r="B67" s="838"/>
      <c r="C67" s="838"/>
      <c r="D67" s="838"/>
      <c r="E67" s="838"/>
      <c r="F67" s="838"/>
      <c r="G67" s="838"/>
      <c r="H67" s="838"/>
      <c r="I67" s="838"/>
      <c r="J67" s="838"/>
      <c r="K67" s="838"/>
      <c r="L67" s="838"/>
      <c r="M67" s="839"/>
      <c r="V67" s="426"/>
    </row>
    <row r="68" spans="1:22">
      <c r="A68" s="523" t="s">
        <v>766</v>
      </c>
      <c r="B68" s="157"/>
      <c r="C68" s="490" t="s">
        <v>79</v>
      </c>
      <c r="D68" s="491"/>
      <c r="E68" s="492" t="s">
        <v>481</v>
      </c>
      <c r="F68" s="480"/>
      <c r="G68" s="490" t="s">
        <v>79</v>
      </c>
      <c r="H68" s="491"/>
      <c r="I68" s="492" t="s">
        <v>481</v>
      </c>
      <c r="J68" s="480"/>
      <c r="K68" s="490" t="s">
        <v>79</v>
      </c>
      <c r="L68" s="491"/>
      <c r="M68" s="493" t="s">
        <v>481</v>
      </c>
      <c r="N68" s="238"/>
      <c r="O68" s="239"/>
      <c r="P68" s="240"/>
      <c r="Q68" s="239"/>
      <c r="R68" s="240"/>
      <c r="S68" s="241"/>
      <c r="T68" s="196"/>
    </row>
    <row r="69" spans="1:22">
      <c r="A69" s="459" t="s">
        <v>479</v>
      </c>
      <c r="B69" s="232"/>
      <c r="C69" s="514">
        <f>'Capital &amp; Opportunity'!C13</f>
        <v>0</v>
      </c>
      <c r="D69" s="533">
        <f t="shared" ref="D69:D72" si="18">C69</f>
        <v>0</v>
      </c>
      <c r="E69" s="514">
        <f>C69*$C$15</f>
        <v>0</v>
      </c>
      <c r="F69" s="469"/>
      <c r="G69" s="514">
        <f>'Capital &amp; Opportunity'!D13</f>
        <v>0</v>
      </c>
      <c r="H69" s="498">
        <f t="shared" ref="H69:H72" si="19">G69</f>
        <v>0</v>
      </c>
      <c r="I69" s="514">
        <f>G69*$G$15</f>
        <v>0</v>
      </c>
      <c r="J69" s="469"/>
      <c r="K69" s="514">
        <f>'Capital &amp; Opportunity'!E13</f>
        <v>0</v>
      </c>
      <c r="L69" s="498">
        <f t="shared" ref="L69:L72" si="20">K69</f>
        <v>0</v>
      </c>
      <c r="M69" s="500">
        <f>K69*$K$15</f>
        <v>0</v>
      </c>
      <c r="N69" s="249">
        <v>0</v>
      </c>
      <c r="O69" s="239">
        <v>0</v>
      </c>
      <c r="P69" s="250">
        <v>0</v>
      </c>
      <c r="Q69" s="239">
        <v>0</v>
      </c>
      <c r="R69" s="250">
        <v>0</v>
      </c>
      <c r="S69" s="241">
        <v>0</v>
      </c>
      <c r="T69" s="237"/>
    </row>
    <row r="70" spans="1:22">
      <c r="A70" s="459" t="s">
        <v>749</v>
      </c>
      <c r="B70" s="232"/>
      <c r="C70" s="499">
        <f>'Capital &amp; Opportunity'!C14</f>
        <v>0</v>
      </c>
      <c r="D70" s="533">
        <f t="shared" si="18"/>
        <v>0</v>
      </c>
      <c r="E70" s="499">
        <f>C70*$C$15</f>
        <v>0</v>
      </c>
      <c r="F70" s="469"/>
      <c r="G70" s="499">
        <f>'Capital &amp; Opportunity'!D14</f>
        <v>0</v>
      </c>
      <c r="H70" s="498">
        <f t="shared" si="19"/>
        <v>0</v>
      </c>
      <c r="I70" s="499">
        <f>G70*$G$15</f>
        <v>0</v>
      </c>
      <c r="J70" s="469"/>
      <c r="K70" s="499">
        <f>'Capital &amp; Opportunity'!E14</f>
        <v>0</v>
      </c>
      <c r="L70" s="498">
        <f t="shared" si="20"/>
        <v>0</v>
      </c>
      <c r="M70" s="500">
        <f>K70*$K$15</f>
        <v>0</v>
      </c>
      <c r="N70" s="249"/>
      <c r="O70" s="239"/>
      <c r="P70" s="250"/>
      <c r="Q70" s="239"/>
      <c r="R70" s="250"/>
      <c r="S70" s="241"/>
      <c r="T70" s="237"/>
    </row>
    <row r="71" spans="1:22">
      <c r="A71" s="459" t="s">
        <v>750</v>
      </c>
      <c r="B71" s="217"/>
      <c r="C71" s="499">
        <f>'Loans &amp; Financing'!T11+'Loans &amp; Financing'!T12</f>
        <v>30.8</v>
      </c>
      <c r="D71" s="533">
        <f t="shared" si="18"/>
        <v>30.8</v>
      </c>
      <c r="E71" s="499">
        <f>C71*$C$15</f>
        <v>3080</v>
      </c>
      <c r="F71" s="469"/>
      <c r="G71" s="499">
        <f>'Loans &amp; Financing'!U11+'Loans &amp; Financing'!U12</f>
        <v>30.8</v>
      </c>
      <c r="H71" s="498">
        <f t="shared" si="19"/>
        <v>30.8</v>
      </c>
      <c r="I71" s="499">
        <f>G71*$G$15</f>
        <v>3080</v>
      </c>
      <c r="J71" s="469"/>
      <c r="K71" s="499">
        <f>'Loans &amp; Financing'!V11+'Loans &amp; Financing'!V12</f>
        <v>30.8</v>
      </c>
      <c r="L71" s="498">
        <f t="shared" si="20"/>
        <v>30.8</v>
      </c>
      <c r="M71" s="500">
        <f>K71*$K$15</f>
        <v>3080</v>
      </c>
      <c r="N71" s="249"/>
      <c r="O71" s="239"/>
      <c r="P71" s="250"/>
      <c r="Q71" s="239"/>
      <c r="R71" s="250"/>
      <c r="S71" s="241"/>
      <c r="T71" s="237"/>
    </row>
    <row r="72" spans="1:22">
      <c r="A72" s="459" t="s">
        <v>480</v>
      </c>
      <c r="B72" s="217"/>
      <c r="C72" s="499">
        <f>'Loans &amp; Financing'!T14+'Loans &amp; Financing'!T15</f>
        <v>66.328056148348594</v>
      </c>
      <c r="D72" s="533">
        <f t="shared" si="18"/>
        <v>66.328056148348594</v>
      </c>
      <c r="E72" s="499">
        <f>C72*$C$15</f>
        <v>6632.8056148348596</v>
      </c>
      <c r="F72" s="469"/>
      <c r="G72" s="499">
        <f>'Loans &amp; Financing'!U14+'Loans &amp; Financing'!U15</f>
        <v>66.328056148348594</v>
      </c>
      <c r="H72" s="498">
        <f t="shared" si="19"/>
        <v>66.328056148348594</v>
      </c>
      <c r="I72" s="499">
        <f>G72*$G$15</f>
        <v>6632.8056148348596</v>
      </c>
      <c r="J72" s="469"/>
      <c r="K72" s="499">
        <f>'Loans &amp; Financing'!V14+'Loans &amp; Financing'!V15</f>
        <v>66.328056148348594</v>
      </c>
      <c r="L72" s="498">
        <f t="shared" si="20"/>
        <v>66.328056148348594</v>
      </c>
      <c r="M72" s="500">
        <f>K72*$K$15</f>
        <v>6632.8056148348596</v>
      </c>
      <c r="N72" s="238"/>
      <c r="O72" s="239"/>
      <c r="P72" s="240"/>
      <c r="Q72" s="239"/>
      <c r="R72" s="240"/>
      <c r="S72" s="241"/>
      <c r="T72" s="196"/>
    </row>
    <row r="73" spans="1:22">
      <c r="A73" s="531" t="s">
        <v>767</v>
      </c>
      <c r="B73" s="186"/>
      <c r="C73" s="534">
        <f>SUM(C69:C72)</f>
        <v>97.128056148348591</v>
      </c>
      <c r="D73" s="535"/>
      <c r="E73" s="534">
        <f>SUM(E69:E72)</f>
        <v>9712.8056148348587</v>
      </c>
      <c r="F73" s="504"/>
      <c r="G73" s="534">
        <f>SUM(G69:G72)</f>
        <v>97.128056148348591</v>
      </c>
      <c r="H73" s="535"/>
      <c r="I73" s="534">
        <f>SUM(I69:I72)</f>
        <v>9712.8056148348587</v>
      </c>
      <c r="J73" s="504"/>
      <c r="K73" s="534">
        <f>SUM(K69:K72)</f>
        <v>97.128056148348591</v>
      </c>
      <c r="L73" s="535"/>
      <c r="M73" s="536">
        <f>SUM(M69:M72)</f>
        <v>9712.8056148348587</v>
      </c>
      <c r="N73" s="246"/>
      <c r="O73" s="247"/>
      <c r="P73" s="246"/>
      <c r="Q73" s="247"/>
      <c r="R73" s="246"/>
      <c r="S73" s="248"/>
      <c r="T73" s="196"/>
    </row>
    <row r="74" spans="1:22" ht="19.5" thickBot="1">
      <c r="A74" s="532" t="s">
        <v>768</v>
      </c>
      <c r="B74" s="186"/>
      <c r="C74" s="518">
        <f>C73+C64</f>
        <v>773.52893948168185</v>
      </c>
      <c r="D74" s="537"/>
      <c r="E74" s="518">
        <f>C74*C15</f>
        <v>77352.893948168188</v>
      </c>
      <c r="F74" s="535"/>
      <c r="G74" s="518">
        <f>G73+G64</f>
        <v>539.99201448168196</v>
      </c>
      <c r="H74" s="537"/>
      <c r="I74" s="518">
        <f>G74*G15</f>
        <v>53999.201448168198</v>
      </c>
      <c r="J74" s="535"/>
      <c r="K74" s="518">
        <f>K73+K64</f>
        <v>521.37047281501532</v>
      </c>
      <c r="L74" s="537"/>
      <c r="M74" s="519">
        <f>K74*K15</f>
        <v>52137.047281501531</v>
      </c>
      <c r="N74" s="246"/>
      <c r="O74" s="247"/>
      <c r="P74" s="246"/>
      <c r="Q74" s="247"/>
      <c r="R74" s="246"/>
      <c r="S74" s="248"/>
      <c r="T74" s="196"/>
    </row>
    <row r="75" spans="1:22" ht="19.5" thickTop="1">
      <c r="A75" s="400" t="s">
        <v>769</v>
      </c>
      <c r="B75" s="401"/>
      <c r="C75" s="520">
        <f>(C21-C74)+C61</f>
        <v>4.1830605183181859</v>
      </c>
      <c r="D75" s="520"/>
      <c r="E75" s="520">
        <f>C75*C15</f>
        <v>418.30605183181859</v>
      </c>
      <c r="F75" s="538"/>
      <c r="G75" s="520">
        <f>(G21-G74)+G61</f>
        <v>10.672985518318043</v>
      </c>
      <c r="H75" s="520"/>
      <c r="I75" s="520">
        <f>G75*G15</f>
        <v>1067.2985518318044</v>
      </c>
      <c r="J75" s="538"/>
      <c r="K75" s="520">
        <f>(K21-K74)+K61</f>
        <v>-38.117772815015329</v>
      </c>
      <c r="L75" s="520"/>
      <c r="M75" s="522">
        <f>K75*K15</f>
        <v>-3811.7772815015328</v>
      </c>
      <c r="N75" s="246"/>
      <c r="O75" s="247"/>
      <c r="P75" s="246"/>
      <c r="Q75" s="247"/>
      <c r="R75" s="246"/>
      <c r="S75" s="248"/>
      <c r="T75" s="196"/>
    </row>
    <row r="76" spans="1:22" ht="16.5" customHeight="1" thickBot="1">
      <c r="A76" s="391"/>
      <c r="B76" s="186"/>
      <c r="C76" s="539"/>
      <c r="D76" s="540"/>
      <c r="E76" s="541"/>
      <c r="F76" s="540"/>
      <c r="G76" s="539"/>
      <c r="H76" s="540"/>
      <c r="I76" s="541"/>
      <c r="J76" s="540"/>
      <c r="K76" s="539"/>
      <c r="L76" s="540"/>
      <c r="M76" s="542"/>
      <c r="N76" s="246"/>
      <c r="O76" s="247"/>
      <c r="P76" s="246"/>
      <c r="Q76" s="247"/>
      <c r="R76" s="246"/>
      <c r="S76" s="248"/>
      <c r="T76" s="196"/>
    </row>
    <row r="77" spans="1:22" ht="16.5" hidden="1" customHeight="1">
      <c r="A77" s="837" t="s">
        <v>646</v>
      </c>
      <c r="B77" s="838"/>
      <c r="C77" s="838"/>
      <c r="D77" s="838"/>
      <c r="E77" s="838"/>
      <c r="F77" s="838"/>
      <c r="G77" s="838"/>
      <c r="H77" s="838"/>
      <c r="I77" s="838"/>
      <c r="J77" s="838"/>
      <c r="K77" s="838"/>
      <c r="L77" s="838"/>
      <c r="M77" s="839"/>
      <c r="N77" s="246"/>
      <c r="O77" s="247"/>
      <c r="P77" s="246"/>
      <c r="Q77" s="247"/>
      <c r="R77" s="246"/>
      <c r="S77" s="248"/>
      <c r="T77" s="196"/>
    </row>
    <row r="78" spans="1:22" ht="16.5" hidden="1" customHeight="1">
      <c r="A78" s="342" t="s">
        <v>615</v>
      </c>
      <c r="B78" s="157"/>
      <c r="C78" s="263" t="s">
        <v>79</v>
      </c>
      <c r="D78" s="264"/>
      <c r="E78" s="265" t="s">
        <v>481</v>
      </c>
      <c r="F78" s="262"/>
      <c r="G78" s="263" t="s">
        <v>79</v>
      </c>
      <c r="H78" s="264"/>
      <c r="I78" s="265" t="s">
        <v>481</v>
      </c>
      <c r="J78" s="262"/>
      <c r="K78" s="263" t="s">
        <v>79</v>
      </c>
      <c r="L78" s="264"/>
      <c r="M78" s="266" t="s">
        <v>481</v>
      </c>
      <c r="N78" s="246"/>
      <c r="O78" s="247"/>
      <c r="P78" s="246"/>
      <c r="Q78" s="247"/>
      <c r="R78" s="246"/>
      <c r="S78" s="248"/>
      <c r="T78" s="196"/>
    </row>
    <row r="79" spans="1:22" ht="16.5" hidden="1" customHeight="1">
      <c r="A79" s="216" t="s">
        <v>607</v>
      </c>
      <c r="B79" s="232"/>
      <c r="C79" s="373">
        <f>'Capital &amp; Opportunity'!C26</f>
        <v>43.664999999999999</v>
      </c>
      <c r="D79" s="346">
        <f t="shared" ref="D79:D80" si="21">C79</f>
        <v>43.664999999999999</v>
      </c>
      <c r="E79" s="373">
        <f>C79*$C$15</f>
        <v>4366.5</v>
      </c>
      <c r="F79" s="259"/>
      <c r="G79" s="373">
        <f>'Capital &amp; Opportunity'!D26</f>
        <v>43.664999999999999</v>
      </c>
      <c r="H79" s="268">
        <f t="shared" ref="H79:H80" si="22">G79</f>
        <v>43.664999999999999</v>
      </c>
      <c r="I79" s="373">
        <f>G79*$G$15</f>
        <v>4366.5</v>
      </c>
      <c r="J79" s="259"/>
      <c r="K79" s="373">
        <f>'Capital &amp; Opportunity'!E26</f>
        <v>43.664999999999999</v>
      </c>
      <c r="L79" s="268">
        <f t="shared" ref="L79:L80" si="23">K79</f>
        <v>43.664999999999999</v>
      </c>
      <c r="M79" s="286">
        <f>K79*$K$15</f>
        <v>4366.5</v>
      </c>
      <c r="N79" s="246"/>
      <c r="O79" s="247"/>
      <c r="P79" s="246"/>
      <c r="Q79" s="247"/>
      <c r="R79" s="246"/>
      <c r="S79" s="248"/>
      <c r="T79" s="196"/>
    </row>
    <row r="80" spans="1:22" ht="16.5" hidden="1" customHeight="1">
      <c r="A80" s="216" t="s">
        <v>614</v>
      </c>
      <c r="B80" s="232"/>
      <c r="C80" s="285">
        <f>'Capital &amp; Opportunity'!C35</f>
        <v>98.2</v>
      </c>
      <c r="D80" s="346">
        <f t="shared" si="21"/>
        <v>98.2</v>
      </c>
      <c r="E80" s="285">
        <f>C80*$C$15</f>
        <v>9820</v>
      </c>
      <c r="F80" s="259"/>
      <c r="G80" s="285">
        <f>'Capital &amp; Opportunity'!D35</f>
        <v>98.2</v>
      </c>
      <c r="H80" s="268">
        <f t="shared" si="22"/>
        <v>98.2</v>
      </c>
      <c r="I80" s="285">
        <f>G80*$G$15</f>
        <v>9820</v>
      </c>
      <c r="J80" s="259"/>
      <c r="K80" s="285">
        <f>'Capital &amp; Opportunity'!E35</f>
        <v>98.2</v>
      </c>
      <c r="L80" s="268">
        <f t="shared" si="23"/>
        <v>98.2</v>
      </c>
      <c r="M80" s="286">
        <f>K80*$K$15</f>
        <v>9820</v>
      </c>
      <c r="N80" s="246"/>
      <c r="O80" s="247"/>
      <c r="P80" s="246"/>
      <c r="Q80" s="247"/>
      <c r="R80" s="246"/>
      <c r="S80" s="248"/>
      <c r="T80" s="196"/>
    </row>
    <row r="81" spans="1:20" ht="16.5" hidden="1" customHeight="1">
      <c r="A81" s="390" t="s">
        <v>616</v>
      </c>
      <c r="B81" s="186"/>
      <c r="C81" s="350">
        <f>SUM(C79:C80)</f>
        <v>141.86500000000001</v>
      </c>
      <c r="D81" s="348"/>
      <c r="E81" s="350">
        <f>SUM(E79:E80)</f>
        <v>14186.5</v>
      </c>
      <c r="F81" s="269"/>
      <c r="G81" s="350">
        <f>SUM(G79:G80)</f>
        <v>141.86500000000001</v>
      </c>
      <c r="H81" s="348"/>
      <c r="I81" s="350">
        <f>SUM(I79:I80)</f>
        <v>14186.5</v>
      </c>
      <c r="J81" s="269"/>
      <c r="K81" s="350">
        <f>SUM(K79:K80)</f>
        <v>141.86500000000001</v>
      </c>
      <c r="L81" s="348"/>
      <c r="M81" s="349">
        <f>SUM(M79:M80)</f>
        <v>14186.5</v>
      </c>
      <c r="N81" s="246"/>
      <c r="O81" s="247"/>
      <c r="P81" s="246"/>
      <c r="Q81" s="247"/>
      <c r="R81" s="246"/>
      <c r="S81" s="248"/>
      <c r="T81" s="196"/>
    </row>
    <row r="82" spans="1:20" ht="16.5" hidden="1" customHeight="1" thickBot="1">
      <c r="A82" s="389" t="s">
        <v>617</v>
      </c>
      <c r="B82" s="186"/>
      <c r="C82" s="374">
        <f>C81+C74</f>
        <v>915.39393948168185</v>
      </c>
      <c r="D82" s="381"/>
      <c r="E82" s="374">
        <f>C82*C15</f>
        <v>91539.393948168188</v>
      </c>
      <c r="F82" s="269"/>
      <c r="G82" s="374">
        <f>G81+G74</f>
        <v>681.85701448168197</v>
      </c>
      <c r="H82" s="381"/>
      <c r="I82" s="374">
        <f>G82*G15</f>
        <v>68185.701448168198</v>
      </c>
      <c r="J82" s="269"/>
      <c r="K82" s="374">
        <f>K81+K74</f>
        <v>663.23547281501533</v>
      </c>
      <c r="L82" s="270"/>
      <c r="M82" s="287">
        <f>K82*K15</f>
        <v>66323.547281501538</v>
      </c>
      <c r="N82" s="246"/>
      <c r="O82" s="247"/>
      <c r="P82" s="246"/>
      <c r="Q82" s="247"/>
      <c r="R82" s="246"/>
      <c r="S82" s="248"/>
      <c r="T82" s="196"/>
    </row>
    <row r="83" spans="1:20" ht="16.5" hidden="1" customHeight="1" thickTop="1" thickBot="1">
      <c r="A83" s="402" t="s">
        <v>648</v>
      </c>
      <c r="B83" s="403"/>
      <c r="C83" s="404">
        <f>(C21-C82)+C61</f>
        <v>-137.68193948168181</v>
      </c>
      <c r="D83" s="405"/>
      <c r="E83" s="404">
        <f>C83*C15</f>
        <v>-13768.19394816818</v>
      </c>
      <c r="F83" s="406"/>
      <c r="G83" s="404">
        <f>(G21-G82)+G61</f>
        <v>-131.19201448168195</v>
      </c>
      <c r="H83" s="405"/>
      <c r="I83" s="404">
        <f>G83*G15</f>
        <v>-13119.201448168194</v>
      </c>
      <c r="J83" s="406"/>
      <c r="K83" s="404">
        <f>(K21-K82)+K61</f>
        <v>-179.98277281501532</v>
      </c>
      <c r="L83" s="405"/>
      <c r="M83" s="407">
        <f>K83*K15</f>
        <v>-17998.277281501534</v>
      </c>
      <c r="N83" s="246"/>
      <c r="O83" s="247"/>
      <c r="P83" s="246"/>
      <c r="Q83" s="247"/>
      <c r="R83" s="246"/>
      <c r="S83" s="248"/>
      <c r="T83" s="196"/>
    </row>
    <row r="84" spans="1:20" ht="16.5" hidden="1" customHeight="1" thickTop="1">
      <c r="A84" s="189"/>
      <c r="B84" s="184"/>
      <c r="C84" s="273"/>
      <c r="D84" s="274"/>
      <c r="E84" s="275"/>
      <c r="F84" s="259"/>
      <c r="G84" s="276"/>
      <c r="H84" s="277"/>
      <c r="I84" s="275"/>
      <c r="J84" s="259"/>
      <c r="K84" s="276"/>
      <c r="L84" s="277"/>
      <c r="M84" s="278"/>
      <c r="N84" s="238"/>
      <c r="O84" s="239"/>
      <c r="P84" s="240"/>
      <c r="Q84" s="239"/>
      <c r="R84" s="240"/>
      <c r="S84" s="241"/>
      <c r="T84" s="196"/>
    </row>
    <row r="85" spans="1:20" ht="16.5" hidden="1" customHeight="1" thickBot="1">
      <c r="A85" s="189"/>
      <c r="B85" s="184"/>
      <c r="C85" s="279"/>
      <c r="D85" s="347"/>
      <c r="E85" s="260"/>
      <c r="F85" s="259"/>
      <c r="G85" s="267"/>
      <c r="H85" s="261"/>
      <c r="I85" s="260"/>
      <c r="J85" s="259"/>
      <c r="K85" s="267"/>
      <c r="L85" s="156"/>
      <c r="M85" s="252"/>
      <c r="N85" s="237"/>
      <c r="O85" s="251"/>
      <c r="P85" s="237"/>
      <c r="Q85" s="251"/>
      <c r="R85" s="237"/>
      <c r="S85" s="221"/>
      <c r="T85" s="196"/>
    </row>
    <row r="86" spans="1:20" ht="16.5" customHeight="1">
      <c r="A86" s="837" t="s">
        <v>416</v>
      </c>
      <c r="B86" s="838"/>
      <c r="C86" s="838"/>
      <c r="D86" s="838"/>
      <c r="E86" s="838"/>
      <c r="F86" s="838"/>
      <c r="G86" s="838"/>
      <c r="H86" s="838"/>
      <c r="I86" s="838"/>
      <c r="J86" s="838"/>
      <c r="K86" s="838"/>
      <c r="L86" s="838"/>
      <c r="M86" s="839"/>
      <c r="N86" s="237"/>
      <c r="O86" s="251"/>
      <c r="P86" s="237"/>
      <c r="Q86" s="251"/>
      <c r="R86" s="237"/>
      <c r="S86" s="221"/>
      <c r="T86" s="196"/>
    </row>
    <row r="87" spans="1:20" ht="16.5" customHeight="1">
      <c r="A87" s="253"/>
      <c r="B87" s="217"/>
      <c r="C87" s="227"/>
      <c r="D87" s="846"/>
      <c r="E87" s="847"/>
      <c r="F87" s="217"/>
      <c r="G87" s="227"/>
      <c r="H87" s="846"/>
      <c r="I87" s="847"/>
      <c r="J87" s="217"/>
      <c r="K87" s="227"/>
      <c r="L87" s="846"/>
      <c r="M87" s="848"/>
      <c r="N87" s="237"/>
      <c r="O87" s="251"/>
      <c r="P87" s="237"/>
      <c r="Q87" s="251"/>
      <c r="R87" s="237"/>
      <c r="S87" s="221"/>
      <c r="T87" s="196"/>
    </row>
    <row r="88" spans="1:20">
      <c r="A88" s="695" t="s">
        <v>414</v>
      </c>
      <c r="B88" s="184"/>
      <c r="C88" s="543">
        <f>(C64-C52-C61-C71)/C21</f>
        <v>0.80265564754549834</v>
      </c>
      <c r="D88" s="843" t="s">
        <v>419</v>
      </c>
      <c r="E88" s="843"/>
      <c r="F88" s="544"/>
      <c r="G88" s="543">
        <f>(G64-G52-G61-G71)/G21</f>
        <v>0.69680809904565388</v>
      </c>
      <c r="H88" s="843" t="s">
        <v>419</v>
      </c>
      <c r="I88" s="843"/>
      <c r="J88" s="544"/>
      <c r="K88" s="543">
        <f>(K64-K52-K61-K71)/K21</f>
        <v>0.76476359260716031</v>
      </c>
      <c r="L88" s="843" t="s">
        <v>419</v>
      </c>
      <c r="M88" s="845"/>
      <c r="N88" s="237"/>
      <c r="O88" s="251"/>
      <c r="P88" s="237"/>
      <c r="Q88" s="251"/>
      <c r="R88" s="237"/>
      <c r="S88" s="221"/>
      <c r="T88" s="196"/>
    </row>
    <row r="89" spans="1:20">
      <c r="A89" s="696" t="s">
        <v>734</v>
      </c>
      <c r="B89" s="458"/>
      <c r="C89" s="457"/>
      <c r="D89" s="842" t="s">
        <v>418</v>
      </c>
      <c r="E89" s="842"/>
      <c r="F89" s="545"/>
      <c r="G89" s="457"/>
      <c r="H89" s="842" t="s">
        <v>418</v>
      </c>
      <c r="I89" s="842"/>
      <c r="J89" s="545"/>
      <c r="K89" s="457"/>
      <c r="L89" s="842" t="s">
        <v>418</v>
      </c>
      <c r="M89" s="844"/>
      <c r="N89" s="237"/>
      <c r="O89" s="251"/>
      <c r="P89" s="237"/>
      <c r="Q89" s="251"/>
      <c r="R89" s="237"/>
      <c r="S89" s="221"/>
      <c r="T89" s="196"/>
    </row>
    <row r="90" spans="1:20">
      <c r="A90" s="697"/>
      <c r="B90" s="458"/>
      <c r="C90" s="546"/>
      <c r="D90" s="840" t="s">
        <v>417</v>
      </c>
      <c r="E90" s="840"/>
      <c r="F90" s="545"/>
      <c r="G90" s="547"/>
      <c r="H90" s="840" t="s">
        <v>417</v>
      </c>
      <c r="I90" s="840"/>
      <c r="J90" s="545"/>
      <c r="K90" s="547"/>
      <c r="L90" s="840" t="s">
        <v>417</v>
      </c>
      <c r="M90" s="841"/>
      <c r="N90" s="237"/>
      <c r="O90" s="251"/>
      <c r="P90" s="237"/>
      <c r="Q90" s="251"/>
      <c r="R90" s="237"/>
      <c r="S90" s="221"/>
      <c r="T90" s="196"/>
    </row>
    <row r="91" spans="1:20">
      <c r="A91" s="697"/>
      <c r="B91" s="458"/>
      <c r="C91" s="546"/>
      <c r="D91" s="544"/>
      <c r="E91" s="548"/>
      <c r="F91" s="545"/>
      <c r="G91" s="547"/>
      <c r="H91" s="544"/>
      <c r="I91" s="548"/>
      <c r="J91" s="545"/>
      <c r="K91" s="547"/>
      <c r="L91" s="544"/>
      <c r="M91" s="549"/>
      <c r="N91" s="237"/>
      <c r="O91" s="251"/>
      <c r="P91" s="237"/>
      <c r="Q91" s="251"/>
      <c r="R91" s="237"/>
      <c r="S91" s="221"/>
      <c r="T91" s="196"/>
    </row>
    <row r="92" spans="1:20">
      <c r="A92" s="695" t="s">
        <v>649</v>
      </c>
      <c r="B92" s="184"/>
      <c r="C92" s="543">
        <f>C61/C21</f>
        <v>9.2795557504018716E-2</v>
      </c>
      <c r="D92" s="843" t="s">
        <v>654</v>
      </c>
      <c r="E92" s="843"/>
      <c r="F92" s="544"/>
      <c r="G92" s="543">
        <f>G61/G21</f>
        <v>0.1362703120969822</v>
      </c>
      <c r="H92" s="843" t="s">
        <v>654</v>
      </c>
      <c r="I92" s="843"/>
      <c r="J92" s="544"/>
      <c r="K92" s="543">
        <f>K61/K21</f>
        <v>0.1582885660000283</v>
      </c>
      <c r="L92" s="843" t="s">
        <v>654</v>
      </c>
      <c r="M92" s="845"/>
      <c r="N92" s="237"/>
      <c r="O92" s="251"/>
      <c r="P92" s="237"/>
      <c r="Q92" s="251"/>
      <c r="R92" s="237"/>
      <c r="S92" s="221"/>
      <c r="T92" s="196"/>
    </row>
    <row r="93" spans="1:20">
      <c r="A93" s="696" t="s">
        <v>735</v>
      </c>
      <c r="B93" s="458"/>
      <c r="C93" s="457"/>
      <c r="D93" s="842" t="s">
        <v>653</v>
      </c>
      <c r="E93" s="842"/>
      <c r="F93" s="545"/>
      <c r="G93" s="457"/>
      <c r="H93" s="842" t="s">
        <v>653</v>
      </c>
      <c r="I93" s="842"/>
      <c r="J93" s="545"/>
      <c r="K93" s="457"/>
      <c r="L93" s="842" t="s">
        <v>653</v>
      </c>
      <c r="M93" s="844"/>
      <c r="N93" s="237"/>
      <c r="O93" s="251"/>
      <c r="P93" s="237"/>
      <c r="Q93" s="251"/>
      <c r="R93" s="237"/>
      <c r="S93" s="221"/>
      <c r="T93" s="196"/>
    </row>
    <row r="94" spans="1:20">
      <c r="A94" s="697"/>
      <c r="B94" s="458"/>
      <c r="C94" s="546"/>
      <c r="D94" s="840" t="s">
        <v>652</v>
      </c>
      <c r="E94" s="840"/>
      <c r="F94" s="545"/>
      <c r="G94" s="547"/>
      <c r="H94" s="840" t="s">
        <v>652</v>
      </c>
      <c r="I94" s="840"/>
      <c r="J94" s="545"/>
      <c r="K94" s="547"/>
      <c r="L94" s="840" t="s">
        <v>652</v>
      </c>
      <c r="M94" s="841"/>
      <c r="N94" s="237"/>
      <c r="O94" s="251"/>
      <c r="P94" s="237"/>
      <c r="Q94" s="251"/>
      <c r="R94" s="237"/>
      <c r="S94" s="221"/>
      <c r="T94" s="196"/>
    </row>
    <row r="95" spans="1:20">
      <c r="A95" s="697"/>
      <c r="B95" s="458"/>
      <c r="C95" s="546"/>
      <c r="D95" s="544"/>
      <c r="E95" s="548"/>
      <c r="F95" s="545"/>
      <c r="G95" s="547"/>
      <c r="H95" s="544"/>
      <c r="I95" s="548"/>
      <c r="J95" s="545"/>
      <c r="K95" s="547"/>
      <c r="L95" s="544"/>
      <c r="M95" s="549"/>
      <c r="N95" s="237"/>
      <c r="O95" s="251"/>
      <c r="P95" s="237"/>
      <c r="Q95" s="251"/>
      <c r="R95" s="237"/>
      <c r="S95" s="221"/>
      <c r="T95" s="196"/>
    </row>
    <row r="96" spans="1:20">
      <c r="A96" s="695" t="s">
        <v>650</v>
      </c>
      <c r="B96" s="184"/>
      <c r="C96" s="543">
        <f>(C52+C71)/C21</f>
        <v>5.4987878310982209E-2</v>
      </c>
      <c r="D96" s="843" t="s">
        <v>654</v>
      </c>
      <c r="E96" s="843"/>
      <c r="F96" s="544"/>
      <c r="G96" s="543">
        <f>(G52+G71)/G21</f>
        <v>8.0749720574327222E-2</v>
      </c>
      <c r="H96" s="843" t="s">
        <v>654</v>
      </c>
      <c r="I96" s="843"/>
      <c r="J96" s="544"/>
      <c r="K96" s="543">
        <f>(K52+K71)/K21</f>
        <v>9.3797080801551191E-2</v>
      </c>
      <c r="L96" s="843" t="s">
        <v>654</v>
      </c>
      <c r="M96" s="845"/>
      <c r="N96" s="237"/>
      <c r="O96" s="251"/>
      <c r="P96" s="237"/>
      <c r="Q96" s="251"/>
      <c r="R96" s="237"/>
      <c r="S96" s="221"/>
      <c r="T96" s="196"/>
    </row>
    <row r="97" spans="1:20">
      <c r="A97" s="696" t="s">
        <v>736</v>
      </c>
      <c r="B97" s="458"/>
      <c r="C97" s="457"/>
      <c r="D97" s="842" t="s">
        <v>653</v>
      </c>
      <c r="E97" s="842"/>
      <c r="F97" s="545"/>
      <c r="G97" s="457"/>
      <c r="H97" s="842" t="s">
        <v>653</v>
      </c>
      <c r="I97" s="842"/>
      <c r="J97" s="545"/>
      <c r="K97" s="457"/>
      <c r="L97" s="842" t="s">
        <v>653</v>
      </c>
      <c r="M97" s="844"/>
      <c r="N97" s="237"/>
      <c r="O97" s="251"/>
      <c r="P97" s="237"/>
      <c r="Q97" s="251"/>
      <c r="R97" s="237"/>
      <c r="S97" s="221"/>
      <c r="T97" s="196"/>
    </row>
    <row r="98" spans="1:20">
      <c r="A98" s="697"/>
      <c r="B98" s="458"/>
      <c r="C98" s="546"/>
      <c r="D98" s="840" t="s">
        <v>652</v>
      </c>
      <c r="E98" s="840"/>
      <c r="F98" s="545"/>
      <c r="G98" s="547"/>
      <c r="H98" s="840" t="s">
        <v>652</v>
      </c>
      <c r="I98" s="840"/>
      <c r="J98" s="545"/>
      <c r="K98" s="547"/>
      <c r="L98" s="840" t="s">
        <v>652</v>
      </c>
      <c r="M98" s="841"/>
      <c r="N98" s="237"/>
      <c r="O98" s="251"/>
      <c r="P98" s="237"/>
      <c r="Q98" s="251"/>
      <c r="R98" s="237"/>
      <c r="S98" s="221"/>
      <c r="T98" s="196"/>
    </row>
    <row r="99" spans="1:20">
      <c r="A99" s="697"/>
      <c r="B99" s="458"/>
      <c r="C99" s="546"/>
      <c r="D99" s="544"/>
      <c r="E99" s="548"/>
      <c r="F99" s="545"/>
      <c r="G99" s="547"/>
      <c r="H99" s="544"/>
      <c r="I99" s="548"/>
      <c r="J99" s="545"/>
      <c r="K99" s="547"/>
      <c r="L99" s="544"/>
      <c r="M99" s="549"/>
      <c r="N99" s="237"/>
      <c r="O99" s="251"/>
      <c r="P99" s="237"/>
      <c r="Q99" s="251"/>
      <c r="R99" s="237"/>
      <c r="S99" s="221"/>
      <c r="T99" s="196"/>
    </row>
    <row r="100" spans="1:20">
      <c r="A100" s="695" t="s">
        <v>651</v>
      </c>
      <c r="B100" s="184"/>
      <c r="C100" s="543">
        <f>C65/C21</f>
        <v>4.9560916639500761E-2</v>
      </c>
      <c r="D100" s="843" t="s">
        <v>655</v>
      </c>
      <c r="E100" s="843"/>
      <c r="F100" s="544"/>
      <c r="G100" s="543">
        <f>G65/G21</f>
        <v>8.6171868283036662E-2</v>
      </c>
      <c r="H100" s="843" t="s">
        <v>655</v>
      </c>
      <c r="I100" s="843"/>
      <c r="J100" s="544"/>
      <c r="K100" s="543">
        <f>K65/K21</f>
        <v>-1.6849239408739787E-2</v>
      </c>
      <c r="L100" s="843" t="s">
        <v>655</v>
      </c>
      <c r="M100" s="845"/>
      <c r="N100" s="237"/>
      <c r="O100" s="251"/>
      <c r="P100" s="237"/>
      <c r="Q100" s="251"/>
      <c r="R100" s="237"/>
      <c r="S100" s="221"/>
      <c r="T100" s="196"/>
    </row>
    <row r="101" spans="1:20">
      <c r="A101" s="696" t="s">
        <v>737</v>
      </c>
      <c r="B101" s="458"/>
      <c r="C101" s="457"/>
      <c r="D101" s="842" t="s">
        <v>656</v>
      </c>
      <c r="E101" s="842"/>
      <c r="F101" s="545"/>
      <c r="G101" s="457"/>
      <c r="H101" s="842" t="s">
        <v>656</v>
      </c>
      <c r="I101" s="842"/>
      <c r="J101" s="545"/>
      <c r="K101" s="457"/>
      <c r="L101" s="842" t="s">
        <v>656</v>
      </c>
      <c r="M101" s="844"/>
      <c r="N101" s="237"/>
      <c r="O101" s="251"/>
      <c r="P101" s="237"/>
      <c r="Q101" s="251"/>
      <c r="R101" s="237"/>
      <c r="S101" s="221"/>
      <c r="T101" s="196"/>
    </row>
    <row r="102" spans="1:20">
      <c r="A102" s="697"/>
      <c r="B102" s="458"/>
      <c r="C102" s="546"/>
      <c r="D102" s="840" t="s">
        <v>657</v>
      </c>
      <c r="E102" s="840"/>
      <c r="F102" s="545"/>
      <c r="G102" s="547"/>
      <c r="H102" s="840" t="s">
        <v>657</v>
      </c>
      <c r="I102" s="840"/>
      <c r="J102" s="545"/>
      <c r="K102" s="547"/>
      <c r="L102" s="840" t="s">
        <v>657</v>
      </c>
      <c r="M102" s="841"/>
      <c r="N102" s="237"/>
      <c r="O102" s="251"/>
      <c r="P102" s="237"/>
      <c r="Q102" s="251"/>
      <c r="R102" s="237"/>
      <c r="S102" s="221"/>
      <c r="T102" s="196"/>
    </row>
    <row r="103" spans="1:20" ht="16.5" customHeight="1" thickBot="1">
      <c r="A103" s="698" t="s">
        <v>662</v>
      </c>
      <c r="B103" s="157"/>
      <c r="C103" s="121"/>
      <c r="D103" s="131"/>
      <c r="E103" s="371"/>
      <c r="F103" s="74"/>
      <c r="G103" s="122"/>
      <c r="H103" s="131"/>
      <c r="I103" s="371"/>
      <c r="J103" s="74"/>
      <c r="K103" s="122"/>
      <c r="L103" s="131"/>
      <c r="M103" s="129"/>
      <c r="N103" s="237"/>
      <c r="O103" s="251"/>
      <c r="P103" s="237"/>
      <c r="Q103" s="251"/>
      <c r="R103" s="237"/>
      <c r="S103" s="221"/>
      <c r="T103" s="196"/>
    </row>
    <row r="104" spans="1:20" ht="16.5" customHeight="1">
      <c r="A104" s="837" t="s">
        <v>579</v>
      </c>
      <c r="B104" s="838"/>
      <c r="C104" s="838"/>
      <c r="D104" s="838"/>
      <c r="E104" s="838"/>
      <c r="F104" s="838"/>
      <c r="G104" s="838"/>
      <c r="H104" s="838"/>
      <c r="I104" s="838"/>
      <c r="J104" s="838"/>
      <c r="K104" s="838"/>
      <c r="L104" s="838"/>
      <c r="M104" s="839"/>
      <c r="N104" s="237"/>
      <c r="O104" s="251"/>
      <c r="P104" s="237"/>
      <c r="Q104" s="251"/>
      <c r="R104" s="237"/>
      <c r="S104" s="221"/>
      <c r="T104" s="196"/>
    </row>
    <row r="105" spans="1:20" ht="16.5" customHeight="1">
      <c r="A105" s="344"/>
      <c r="B105" s="157"/>
      <c r="C105" s="121"/>
      <c r="D105" s="131"/>
      <c r="E105" s="371"/>
      <c r="F105" s="74"/>
      <c r="G105" s="122"/>
      <c r="H105" s="131"/>
      <c r="I105" s="371"/>
      <c r="J105" s="74"/>
      <c r="K105" s="122"/>
      <c r="L105" s="131"/>
      <c r="M105" s="129"/>
      <c r="N105" s="237"/>
      <c r="O105" s="251"/>
      <c r="P105" s="237"/>
      <c r="Q105" s="251"/>
      <c r="R105" s="237"/>
      <c r="S105" s="221"/>
      <c r="T105" s="196"/>
    </row>
    <row r="106" spans="1:20">
      <c r="A106" s="523" t="s">
        <v>738</v>
      </c>
      <c r="B106" s="184"/>
      <c r="C106" s="546"/>
      <c r="D106" s="544"/>
      <c r="E106" s="548"/>
      <c r="F106" s="545"/>
      <c r="G106" s="547"/>
      <c r="H106" s="544"/>
      <c r="I106" s="548"/>
      <c r="J106" s="545"/>
      <c r="K106" s="547"/>
      <c r="L106" s="544"/>
      <c r="M106" s="549"/>
      <c r="N106" s="237"/>
      <c r="O106" s="251"/>
      <c r="P106" s="237"/>
      <c r="Q106" s="251"/>
      <c r="R106" s="237"/>
      <c r="S106" s="221"/>
      <c r="T106" s="196"/>
    </row>
    <row r="107" spans="1:20">
      <c r="A107" s="550" t="s">
        <v>576</v>
      </c>
      <c r="B107" s="205"/>
      <c r="C107" s="551">
        <f>(C64)/C14</f>
        <v>4.2973372511647598</v>
      </c>
      <c r="D107" s="552" t="s">
        <v>661</v>
      </c>
      <c r="E107" s="553"/>
      <c r="F107" s="554"/>
      <c r="G107" s="551">
        <f>(G64)/G14</f>
        <v>10.294373740895708</v>
      </c>
      <c r="H107" s="552" t="s">
        <v>661</v>
      </c>
      <c r="I107" s="553"/>
      <c r="J107" s="554"/>
      <c r="K107" s="551">
        <f>(K64)/K14</f>
        <v>6.1600467063549686</v>
      </c>
      <c r="L107" s="552" t="s">
        <v>661</v>
      </c>
      <c r="M107" s="555"/>
      <c r="N107" s="237"/>
      <c r="O107" s="251"/>
      <c r="P107" s="237"/>
      <c r="Q107" s="251"/>
      <c r="R107" s="237"/>
      <c r="S107" s="221"/>
      <c r="T107" s="196"/>
    </row>
    <row r="108" spans="1:20">
      <c r="A108" s="550" t="s">
        <v>577</v>
      </c>
      <c r="B108" s="205"/>
      <c r="C108" s="556">
        <f>(C64)/C13</f>
        <v>172.11218405428326</v>
      </c>
      <c r="D108" s="557" t="s">
        <v>131</v>
      </c>
      <c r="E108" s="558"/>
      <c r="F108" s="559"/>
      <c r="G108" s="556">
        <f>(G64)/G13</f>
        <v>47.877184684684686</v>
      </c>
      <c r="H108" s="557" t="s">
        <v>131</v>
      </c>
      <c r="I108" s="558"/>
      <c r="J108" s="559"/>
      <c r="K108" s="556">
        <f>(K64)/K13</f>
        <v>81.428486884197071</v>
      </c>
      <c r="L108" s="557" t="s">
        <v>131</v>
      </c>
      <c r="M108" s="560"/>
      <c r="N108" s="237"/>
      <c r="O108" s="251"/>
      <c r="P108" s="237"/>
      <c r="Q108" s="251"/>
      <c r="R108" s="237"/>
      <c r="S108" s="221"/>
      <c r="T108" s="196"/>
    </row>
    <row r="109" spans="1:20">
      <c r="A109" s="561"/>
      <c r="B109" s="205"/>
      <c r="C109" s="562"/>
      <c r="D109" s="559"/>
      <c r="E109" s="558"/>
      <c r="F109" s="559"/>
      <c r="G109" s="562"/>
      <c r="H109" s="559"/>
      <c r="I109" s="558"/>
      <c r="J109" s="559"/>
      <c r="K109" s="562"/>
      <c r="L109" s="559"/>
      <c r="M109" s="560"/>
      <c r="N109" s="237"/>
      <c r="O109" s="251"/>
      <c r="P109" s="237"/>
      <c r="Q109" s="251"/>
      <c r="R109" s="237"/>
      <c r="S109" s="221"/>
      <c r="T109" s="196"/>
    </row>
    <row r="110" spans="1:20">
      <c r="A110" s="523" t="s">
        <v>704</v>
      </c>
      <c r="B110" s="563"/>
      <c r="C110" s="564"/>
      <c r="D110" s="565"/>
      <c r="E110" s="566"/>
      <c r="F110" s="565"/>
      <c r="G110" s="564"/>
      <c r="H110" s="565"/>
      <c r="I110" s="566"/>
      <c r="J110" s="565"/>
      <c r="K110" s="564"/>
      <c r="L110" s="565"/>
      <c r="M110" s="567"/>
      <c r="N110" s="237"/>
      <c r="O110" s="251"/>
      <c r="P110" s="237"/>
      <c r="Q110" s="251"/>
      <c r="R110" s="237"/>
      <c r="S110" s="221"/>
      <c r="T110" s="196"/>
    </row>
    <row r="111" spans="1:20">
      <c r="A111" s="550" t="s">
        <v>576</v>
      </c>
      <c r="B111" s="205"/>
      <c r="C111" s="551">
        <f>(C74-C61)/C14</f>
        <v>4.4948471377489314</v>
      </c>
      <c r="D111" s="552" t="s">
        <v>661</v>
      </c>
      <c r="E111" s="558"/>
      <c r="F111" s="559"/>
      <c r="G111" s="551">
        <f>(G74-G61)/G14</f>
        <v>11.017015678328264</v>
      </c>
      <c r="H111" s="552" t="s">
        <v>661</v>
      </c>
      <c r="I111" s="558"/>
      <c r="J111" s="559"/>
      <c r="K111" s="551">
        <f>(K74-K61)/K14</f>
        <v>6.6114487122842354</v>
      </c>
      <c r="L111" s="552" t="s">
        <v>661</v>
      </c>
      <c r="M111" s="560"/>
      <c r="N111" s="237"/>
      <c r="O111" s="251"/>
      <c r="P111" s="237"/>
      <c r="Q111" s="251"/>
      <c r="R111" s="237"/>
      <c r="S111" s="221"/>
      <c r="T111" s="196"/>
    </row>
    <row r="112" spans="1:20">
      <c r="A112" s="550" t="s">
        <v>577</v>
      </c>
      <c r="B112" s="205"/>
      <c r="C112" s="556">
        <f>(C74-C61)/C13</f>
        <v>180.02263091136942</v>
      </c>
      <c r="D112" s="557" t="s">
        <v>131</v>
      </c>
      <c r="E112" s="558"/>
      <c r="F112" s="559"/>
      <c r="G112" s="556">
        <f>(G74-G61)/G13</f>
        <v>51.238055619641294</v>
      </c>
      <c r="H112" s="557" t="s">
        <v>131</v>
      </c>
      <c r="I112" s="558"/>
      <c r="J112" s="559"/>
      <c r="K112" s="556">
        <f>(K74-K61)/K13</f>
        <v>87.395484225530765</v>
      </c>
      <c r="L112" s="557" t="s">
        <v>131</v>
      </c>
      <c r="M112" s="560"/>
      <c r="N112" s="237"/>
      <c r="O112" s="251"/>
      <c r="P112" s="237"/>
      <c r="Q112" s="251"/>
      <c r="R112" s="237"/>
      <c r="S112" s="221"/>
      <c r="T112" s="196"/>
    </row>
    <row r="113" spans="1:29">
      <c r="A113" s="561"/>
      <c r="B113" s="205"/>
      <c r="C113" s="562"/>
      <c r="D113" s="559"/>
      <c r="E113" s="558"/>
      <c r="F113" s="559"/>
      <c r="G113" s="562"/>
      <c r="H113" s="559"/>
      <c r="I113" s="558"/>
      <c r="J113" s="559"/>
      <c r="K113" s="562"/>
      <c r="L113" s="559"/>
      <c r="M113" s="560"/>
      <c r="N113" s="237"/>
      <c r="O113" s="251"/>
      <c r="P113" s="237"/>
      <c r="Q113" s="251"/>
      <c r="R113" s="237"/>
      <c r="S113" s="221"/>
      <c r="T113" s="196"/>
    </row>
    <row r="114" spans="1:29">
      <c r="A114" s="523" t="s">
        <v>703</v>
      </c>
      <c r="B114" s="563"/>
      <c r="C114" s="564"/>
      <c r="D114" s="565"/>
      <c r="E114" s="566"/>
      <c r="F114" s="565"/>
      <c r="G114" s="564"/>
      <c r="H114" s="565"/>
      <c r="I114" s="566"/>
      <c r="J114" s="565"/>
      <c r="K114" s="564"/>
      <c r="L114" s="565"/>
      <c r="M114" s="567"/>
      <c r="N114" s="237"/>
      <c r="O114" s="251"/>
      <c r="P114" s="237"/>
      <c r="Q114" s="251"/>
      <c r="R114" s="237"/>
      <c r="S114" s="221"/>
      <c r="T114" s="196"/>
    </row>
    <row r="115" spans="1:29">
      <c r="A115" s="550" t="s">
        <v>576</v>
      </c>
      <c r="B115" s="205"/>
      <c r="C115" s="551">
        <f>C74/C14</f>
        <v>4.9144151174185629</v>
      </c>
      <c r="D115" s="552" t="s">
        <v>661</v>
      </c>
      <c r="E115" s="558"/>
      <c r="F115" s="559"/>
      <c r="G115" s="551">
        <f>G74/G14</f>
        <v>12.552115631838259</v>
      </c>
      <c r="H115" s="552" t="s">
        <v>661</v>
      </c>
      <c r="I115" s="558"/>
      <c r="J115" s="559"/>
      <c r="K115" s="551">
        <f>K74/K14</f>
        <v>7.570356799985702</v>
      </c>
      <c r="L115" s="552" t="s">
        <v>661</v>
      </c>
      <c r="M115" s="560"/>
      <c r="N115" s="237"/>
      <c r="O115" s="251"/>
      <c r="P115" s="237"/>
      <c r="Q115" s="251"/>
      <c r="R115" s="237"/>
      <c r="S115" s="221"/>
      <c r="T115" s="196"/>
    </row>
    <row r="116" spans="1:29">
      <c r="A116" s="550" t="s">
        <v>577</v>
      </c>
      <c r="B116" s="205"/>
      <c r="C116" s="556">
        <f>C74/C13</f>
        <v>196.82670215818877</v>
      </c>
      <c r="D116" s="557" t="s">
        <v>131</v>
      </c>
      <c r="E116" s="558"/>
      <c r="F116" s="559"/>
      <c r="G116" s="556">
        <f>G74/G13</f>
        <v>58.377515079100753</v>
      </c>
      <c r="H116" s="557" t="s">
        <v>131</v>
      </c>
      <c r="I116" s="558"/>
      <c r="J116" s="559"/>
      <c r="K116" s="556">
        <f>K74/K13</f>
        <v>100.07110802591465</v>
      </c>
      <c r="L116" s="557" t="s">
        <v>131</v>
      </c>
      <c r="M116" s="560"/>
      <c r="N116" s="237"/>
      <c r="O116" s="251"/>
      <c r="P116" s="237"/>
      <c r="Q116" s="251"/>
      <c r="R116" s="237"/>
      <c r="S116" s="221"/>
      <c r="T116" s="196"/>
    </row>
    <row r="117" spans="1:29" ht="7.15" hidden="1" customHeight="1">
      <c r="A117" s="253"/>
      <c r="B117" s="217"/>
      <c r="C117" s="125"/>
      <c r="D117" s="79"/>
      <c r="E117" s="123"/>
      <c r="F117" s="79"/>
      <c r="G117" s="125"/>
      <c r="H117" s="79"/>
      <c r="I117" s="123"/>
      <c r="J117" s="79"/>
      <c r="K117" s="125"/>
      <c r="L117" s="79"/>
      <c r="M117" s="124"/>
      <c r="N117" s="237"/>
      <c r="O117" s="251"/>
      <c r="P117" s="237"/>
      <c r="Q117" s="251"/>
      <c r="R117" s="237"/>
      <c r="S117" s="221"/>
      <c r="T117" s="196"/>
    </row>
    <row r="118" spans="1:29" ht="16.5" hidden="1" customHeight="1">
      <c r="A118" s="342" t="s">
        <v>621</v>
      </c>
      <c r="B118" s="383"/>
      <c r="C118" s="384"/>
      <c r="D118" s="385"/>
      <c r="E118" s="386"/>
      <c r="F118" s="385"/>
      <c r="G118" s="384"/>
      <c r="H118" s="385"/>
      <c r="I118" s="386"/>
      <c r="J118" s="385"/>
      <c r="K118" s="384"/>
      <c r="L118" s="385"/>
      <c r="M118" s="387"/>
      <c r="N118" s="237"/>
      <c r="O118" s="251"/>
      <c r="P118" s="237"/>
      <c r="Q118" s="251"/>
      <c r="R118" s="237"/>
      <c r="S118" s="221"/>
      <c r="T118" s="196"/>
    </row>
    <row r="119" spans="1:29" ht="16.5" hidden="1" customHeight="1">
      <c r="A119" s="343" t="s">
        <v>576</v>
      </c>
      <c r="B119" s="217"/>
      <c r="C119" s="417">
        <f>C82/C14</f>
        <v>5.8157175316498213</v>
      </c>
      <c r="D119" s="415" t="s">
        <v>661</v>
      </c>
      <c r="E119" s="123"/>
      <c r="F119" s="79"/>
      <c r="G119" s="417">
        <f>G82/G14</f>
        <v>15.849767886603486</v>
      </c>
      <c r="H119" s="415" t="s">
        <v>661</v>
      </c>
      <c r="I119" s="123"/>
      <c r="J119" s="79"/>
      <c r="K119" s="417">
        <f>K82/K14</f>
        <v>9.6302522551911611</v>
      </c>
      <c r="L119" s="415" t="s">
        <v>661</v>
      </c>
      <c r="M119" s="124"/>
      <c r="N119" s="237"/>
      <c r="O119" s="251"/>
      <c r="P119" s="237"/>
      <c r="Q119" s="251"/>
      <c r="R119" s="237"/>
      <c r="S119" s="221"/>
      <c r="T119" s="196"/>
    </row>
    <row r="120" spans="1:29" ht="16.5" hidden="1" customHeight="1">
      <c r="A120" s="343" t="s">
        <v>577</v>
      </c>
      <c r="B120" s="217"/>
      <c r="C120" s="418">
        <f>C82/C13</f>
        <v>232.92466653477908</v>
      </c>
      <c r="D120" s="416" t="s">
        <v>131</v>
      </c>
      <c r="E120" s="123"/>
      <c r="F120" s="79"/>
      <c r="G120" s="418">
        <f>G82/G13</f>
        <v>73.714271835857517</v>
      </c>
      <c r="H120" s="416" t="s">
        <v>131</v>
      </c>
      <c r="I120" s="123"/>
      <c r="J120" s="79"/>
      <c r="K120" s="418">
        <f>K82/K13</f>
        <v>127.30047462860179</v>
      </c>
      <c r="L120" s="416" t="s">
        <v>131</v>
      </c>
      <c r="M120" s="124"/>
      <c r="N120" s="237"/>
      <c r="O120" s="251"/>
      <c r="P120" s="237"/>
      <c r="Q120" s="251"/>
      <c r="R120" s="237"/>
      <c r="S120" s="221"/>
      <c r="T120" s="196"/>
    </row>
    <row r="121" spans="1:29" ht="16.5" customHeight="1" thickBot="1">
      <c r="A121" s="253"/>
      <c r="B121" s="217"/>
      <c r="C121" s="227"/>
      <c r="D121" s="217"/>
      <c r="E121" s="232"/>
      <c r="F121" s="217"/>
      <c r="G121" s="227"/>
      <c r="H121" s="217"/>
      <c r="I121" s="232"/>
      <c r="J121" s="217"/>
      <c r="K121" s="227"/>
      <c r="L121" s="217"/>
      <c r="M121" s="254"/>
      <c r="N121" s="237"/>
      <c r="O121" s="251"/>
      <c r="P121" s="237"/>
      <c r="Q121" s="251"/>
      <c r="R121" s="237"/>
      <c r="S121" s="221"/>
      <c r="T121" s="196"/>
    </row>
    <row r="122" spans="1:29" ht="16.5" customHeight="1">
      <c r="A122" s="837" t="s">
        <v>580</v>
      </c>
      <c r="B122" s="838"/>
      <c r="C122" s="838"/>
      <c r="D122" s="838"/>
      <c r="E122" s="838"/>
      <c r="F122" s="838"/>
      <c r="G122" s="838"/>
      <c r="H122" s="838"/>
      <c r="I122" s="838"/>
      <c r="J122" s="838"/>
      <c r="K122" s="838"/>
      <c r="L122" s="838"/>
      <c r="M122" s="839"/>
      <c r="N122" s="237"/>
      <c r="O122" s="251"/>
      <c r="P122" s="237"/>
      <c r="Q122" s="251"/>
      <c r="R122" s="237"/>
      <c r="S122" s="221"/>
      <c r="T122" s="196"/>
    </row>
    <row r="123" spans="1:29" ht="16.5" customHeight="1">
      <c r="A123" s="255"/>
      <c r="B123" s="256"/>
      <c r="C123" s="227"/>
      <c r="D123" s="217"/>
      <c r="E123" s="232"/>
      <c r="F123" s="217"/>
      <c r="G123" s="227"/>
      <c r="H123" s="217"/>
      <c r="I123" s="232"/>
      <c r="J123" s="217"/>
      <c r="K123" s="227"/>
      <c r="L123" s="217"/>
      <c r="M123" s="254"/>
      <c r="N123" s="237"/>
      <c r="O123" s="251"/>
      <c r="P123" s="237"/>
      <c r="Q123" s="251"/>
      <c r="R123" s="237"/>
      <c r="S123" s="221"/>
      <c r="T123" s="196"/>
    </row>
    <row r="124" spans="1:29">
      <c r="A124" s="568" t="s">
        <v>729</v>
      </c>
      <c r="B124" s="569"/>
      <c r="C124" s="570" t="s">
        <v>115</v>
      </c>
      <c r="D124" s="570" t="s">
        <v>116</v>
      </c>
      <c r="E124" s="570" t="s">
        <v>117</v>
      </c>
      <c r="F124" s="26"/>
      <c r="G124" s="570" t="s">
        <v>115</v>
      </c>
      <c r="H124" s="570" t="s">
        <v>116</v>
      </c>
      <c r="I124" s="570" t="s">
        <v>117</v>
      </c>
      <c r="J124" s="26"/>
      <c r="K124" s="570" t="s">
        <v>115</v>
      </c>
      <c r="L124" s="570" t="s">
        <v>116</v>
      </c>
      <c r="M124" s="571" t="s">
        <v>117</v>
      </c>
      <c r="N124" s="237"/>
      <c r="O124" s="251"/>
      <c r="P124" s="237"/>
      <c r="Q124" s="251"/>
      <c r="R124" s="237"/>
      <c r="S124" s="221"/>
      <c r="T124" s="196"/>
    </row>
    <row r="125" spans="1:29">
      <c r="A125" s="435" t="s">
        <v>730</v>
      </c>
      <c r="B125" s="196"/>
      <c r="C125" s="572">
        <f>'Nutrient Management'!C50</f>
        <v>141.66</v>
      </c>
      <c r="D125" s="572">
        <f>'Nutrient Management'!D50</f>
        <v>70</v>
      </c>
      <c r="E125" s="572">
        <f>'Nutrient Management'!E50</f>
        <v>40</v>
      </c>
      <c r="F125" s="572"/>
      <c r="G125" s="572">
        <f>'Nutrient Management'!G50</f>
        <v>163.476</v>
      </c>
      <c r="H125" s="572">
        <f>'Nutrient Management'!H50</f>
        <v>0</v>
      </c>
      <c r="I125" s="572">
        <f>'Nutrient Management'!I50</f>
        <v>85</v>
      </c>
      <c r="J125" s="572"/>
      <c r="K125" s="572">
        <f>'Nutrient Management'!K50</f>
        <v>82.644000000000005</v>
      </c>
      <c r="L125" s="572">
        <f>'Nutrient Management'!L50</f>
        <v>45</v>
      </c>
      <c r="M125" s="572">
        <f>'Nutrient Management'!M50</f>
        <v>55</v>
      </c>
      <c r="N125" s="196"/>
      <c r="O125" s="196"/>
      <c r="P125" s="228"/>
      <c r="Q125" s="257"/>
      <c r="R125" s="196"/>
      <c r="S125" s="258"/>
      <c r="T125" s="196"/>
    </row>
    <row r="126" spans="1:29">
      <c r="A126" s="435"/>
      <c r="B126" s="196"/>
      <c r="C126" s="570" t="s">
        <v>118</v>
      </c>
      <c r="D126" s="570" t="s">
        <v>119</v>
      </c>
      <c r="E126" s="570" t="s">
        <v>268</v>
      </c>
      <c r="F126" s="26"/>
      <c r="G126" s="570" t="s">
        <v>118</v>
      </c>
      <c r="H126" s="570" t="s">
        <v>119</v>
      </c>
      <c r="I126" s="570" t="s">
        <v>268</v>
      </c>
      <c r="J126" s="26"/>
      <c r="K126" s="570" t="s">
        <v>118</v>
      </c>
      <c r="L126" s="570" t="s">
        <v>119</v>
      </c>
      <c r="M126" s="571" t="s">
        <v>268</v>
      </c>
      <c r="N126" s="196"/>
      <c r="O126" s="196"/>
      <c r="P126" s="228"/>
      <c r="Q126" s="257"/>
      <c r="R126" s="196"/>
      <c r="S126" s="258"/>
      <c r="T126" s="196"/>
    </row>
    <row r="127" spans="1:29">
      <c r="A127" s="435"/>
      <c r="B127" s="196"/>
      <c r="C127" s="572">
        <f>'Nutrient Management'!C52</f>
        <v>12.592000000000001</v>
      </c>
      <c r="D127" s="572">
        <f>'Nutrient Management'!D52</f>
        <v>1.5740000000000001</v>
      </c>
      <c r="E127" s="572">
        <f>'Nutrient Management'!E52</f>
        <v>4.7220000000000004</v>
      </c>
      <c r="F127" s="572"/>
      <c r="G127" s="572">
        <f>'Nutrient Management'!G52</f>
        <v>7.7436000000000007</v>
      </c>
      <c r="H127" s="572">
        <f>'Nutrient Management'!H52</f>
        <v>6.4530000000000003</v>
      </c>
      <c r="I127" s="572">
        <f>'Nutrient Management'!I52</f>
        <v>6.4530000000000003</v>
      </c>
      <c r="J127" s="572"/>
      <c r="K127" s="572">
        <f>'Nutrient Management'!K52</f>
        <v>6.8870000000000005</v>
      </c>
      <c r="L127" s="572">
        <f>'Nutrient Management'!L52</f>
        <v>2.0661</v>
      </c>
      <c r="M127" s="572">
        <f>'Nutrient Management'!M52</f>
        <v>10.330500000000001</v>
      </c>
      <c r="N127" s="196"/>
      <c r="O127" s="196"/>
      <c r="P127" s="228"/>
      <c r="Q127" s="257"/>
      <c r="R127" s="196"/>
      <c r="S127" s="258"/>
      <c r="T127" s="196"/>
    </row>
    <row r="128" spans="1:29">
      <c r="A128" s="435"/>
      <c r="B128" s="196"/>
      <c r="C128" s="570" t="s">
        <v>121</v>
      </c>
      <c r="D128" s="570" t="s">
        <v>122</v>
      </c>
      <c r="E128" s="570" t="s">
        <v>123</v>
      </c>
      <c r="F128" s="26"/>
      <c r="G128" s="570" t="s">
        <v>121</v>
      </c>
      <c r="H128" s="570" t="s">
        <v>122</v>
      </c>
      <c r="I128" s="570" t="s">
        <v>123</v>
      </c>
      <c r="J128" s="26"/>
      <c r="K128" s="570" t="s">
        <v>121</v>
      </c>
      <c r="L128" s="570" t="s">
        <v>122</v>
      </c>
      <c r="M128" s="571" t="s">
        <v>123</v>
      </c>
      <c r="N128" s="196"/>
      <c r="O128" s="196"/>
      <c r="P128" s="228"/>
      <c r="Q128" s="257"/>
      <c r="R128" s="196"/>
      <c r="S128" s="258"/>
      <c r="T128" s="196"/>
      <c r="X128" s="315"/>
      <c r="Y128" s="77"/>
      <c r="Z128" s="77"/>
      <c r="AA128" s="77"/>
      <c r="AB128" s="77"/>
      <c r="AC128" s="77"/>
    </row>
    <row r="129" spans="1:29">
      <c r="A129" s="435"/>
      <c r="B129" s="196"/>
      <c r="C129" s="572">
        <f>'Nutrient Management'!C54</f>
        <v>0.16789333333333334</v>
      </c>
      <c r="D129" s="572">
        <f>'Nutrient Management'!D54</f>
        <v>0.37775999999999998</v>
      </c>
      <c r="E129" s="572">
        <f>'Nutrient Management'!E54</f>
        <v>0.11542666666666668</v>
      </c>
      <c r="F129" s="573"/>
      <c r="G129" s="572">
        <f>'Nutrient Management'!G54</f>
        <v>4.3020000000000003E-2</v>
      </c>
      <c r="H129" s="572">
        <f>'Nutrient Management'!H54</f>
        <v>5.1623999999999996E-2</v>
      </c>
      <c r="I129" s="572">
        <f>'Nutrient Management'!I54</f>
        <v>5.1623999999999996E-2</v>
      </c>
      <c r="J129" s="573"/>
      <c r="K129" s="572">
        <f>'Nutrient Management'!K54</f>
        <v>0.18365333333333336</v>
      </c>
      <c r="L129" s="572">
        <f>'Nutrient Management'!L54</f>
        <v>5.5095999999999999E-2</v>
      </c>
      <c r="M129" s="572">
        <f>'Nutrient Management'!M54</f>
        <v>0.11937466666666668</v>
      </c>
      <c r="N129" s="196"/>
      <c r="O129" s="196"/>
      <c r="P129" s="228"/>
      <c r="Q129" s="257"/>
      <c r="R129" s="196"/>
      <c r="S129" s="258"/>
      <c r="T129" s="196"/>
      <c r="X129" s="316"/>
      <c r="Y129" s="77"/>
      <c r="Z129" s="77"/>
      <c r="AA129" s="77"/>
      <c r="AB129" s="77"/>
      <c r="AC129" s="77"/>
    </row>
    <row r="130" spans="1:29">
      <c r="A130" s="561"/>
      <c r="B130" s="205"/>
      <c r="C130" s="206"/>
      <c r="D130" s="205"/>
      <c r="E130" s="207"/>
      <c r="F130" s="205"/>
      <c r="G130" s="206"/>
      <c r="H130" s="205"/>
      <c r="I130" s="207"/>
      <c r="J130" s="205"/>
      <c r="K130" s="206"/>
      <c r="L130" s="205"/>
      <c r="M130" s="208"/>
      <c r="N130" s="196"/>
      <c r="O130" s="196"/>
      <c r="P130" s="228"/>
      <c r="Q130" s="257"/>
      <c r="R130" s="28"/>
      <c r="S130" s="222"/>
      <c r="T130" s="196"/>
    </row>
    <row r="131" spans="1:29">
      <c r="A131" s="574" t="s">
        <v>428</v>
      </c>
      <c r="B131" s="229"/>
      <c r="C131" s="575" t="s">
        <v>115</v>
      </c>
      <c r="D131" s="575" t="s">
        <v>116</v>
      </c>
      <c r="E131" s="575" t="s">
        <v>117</v>
      </c>
      <c r="F131" s="458"/>
      <c r="G131" s="575" t="s">
        <v>115</v>
      </c>
      <c r="H131" s="575" t="s">
        <v>116</v>
      </c>
      <c r="I131" s="575" t="s">
        <v>117</v>
      </c>
      <c r="J131" s="458"/>
      <c r="K131" s="575" t="s">
        <v>115</v>
      </c>
      <c r="L131" s="575" t="s">
        <v>116</v>
      </c>
      <c r="M131" s="576" t="s">
        <v>117</v>
      </c>
      <c r="N131" s="196"/>
      <c r="O131" s="196"/>
      <c r="P131" s="228"/>
      <c r="Q131" s="257"/>
      <c r="R131" s="28"/>
      <c r="S131" s="222"/>
      <c r="T131" s="196"/>
    </row>
    <row r="132" spans="1:29">
      <c r="A132" s="561" t="s">
        <v>269</v>
      </c>
      <c r="B132" s="205"/>
      <c r="C132" s="577">
        <f>'Fertilizer Plan'!I75</f>
        <v>145.5204</v>
      </c>
      <c r="D132" s="577">
        <f>'Fertilizer Plan'!J75</f>
        <v>58.368000000000002</v>
      </c>
      <c r="E132" s="577">
        <f>'Fertilizer Plan'!K75</f>
        <v>62</v>
      </c>
      <c r="F132" s="578"/>
      <c r="G132" s="577">
        <f>'Fertilizer Plan'!U75</f>
        <v>0</v>
      </c>
      <c r="H132" s="577">
        <f>'Fertilizer Plan'!V75</f>
        <v>36.800000000000004</v>
      </c>
      <c r="I132" s="577">
        <f>'Fertilizer Plan'!W75</f>
        <v>55.8</v>
      </c>
      <c r="J132" s="578"/>
      <c r="K132" s="577">
        <f>'Fertilizer Plan'!AG75</f>
        <v>95.2</v>
      </c>
      <c r="L132" s="577">
        <f>'Fertilizer Plan'!AH75</f>
        <v>46</v>
      </c>
      <c r="M132" s="579">
        <f>'Fertilizer Plan'!AI75</f>
        <v>31</v>
      </c>
      <c r="N132" s="118"/>
      <c r="O132" s="118"/>
      <c r="P132" s="119"/>
      <c r="Q132" s="120"/>
      <c r="R132" s="118"/>
      <c r="S132" s="258"/>
      <c r="T132" s="196"/>
    </row>
    <row r="133" spans="1:29">
      <c r="A133" s="561"/>
      <c r="B133" s="205"/>
      <c r="C133" s="575" t="s">
        <v>118</v>
      </c>
      <c r="D133" s="575" t="s">
        <v>119</v>
      </c>
      <c r="E133" s="575" t="s">
        <v>268</v>
      </c>
      <c r="F133" s="578"/>
      <c r="G133" s="575" t="s">
        <v>118</v>
      </c>
      <c r="H133" s="575" t="s">
        <v>119</v>
      </c>
      <c r="I133" s="575" t="s">
        <v>268</v>
      </c>
      <c r="J133" s="578"/>
      <c r="K133" s="575" t="s">
        <v>118</v>
      </c>
      <c r="L133" s="575" t="s">
        <v>119</v>
      </c>
      <c r="M133" s="576" t="s">
        <v>268</v>
      </c>
      <c r="N133" s="118"/>
      <c r="O133" s="118"/>
      <c r="P133" s="119"/>
      <c r="Q133" s="120"/>
      <c r="R133" s="118"/>
      <c r="S133" s="258"/>
      <c r="T133" s="196"/>
    </row>
    <row r="134" spans="1:29">
      <c r="A134" s="561"/>
      <c r="B134" s="205"/>
      <c r="C134" s="577">
        <f>'Fertilizer Plan'!I78</f>
        <v>20.8704</v>
      </c>
      <c r="D134" s="577">
        <f>'Fertilizer Plan'!J78</f>
        <v>0</v>
      </c>
      <c r="E134" s="577">
        <f>'Fertilizer Plan'!K78</f>
        <v>0</v>
      </c>
      <c r="F134" s="578"/>
      <c r="G134" s="577">
        <f>'Fertilizer Plan'!U78</f>
        <v>0</v>
      </c>
      <c r="H134" s="577">
        <f>'Fertilizer Plan'!V78</f>
        <v>0</v>
      </c>
      <c r="I134" s="577">
        <f>'Fertilizer Plan'!W78</f>
        <v>0</v>
      </c>
      <c r="J134" s="578"/>
      <c r="K134" s="577">
        <f>'Fertilizer Plan'!AG78</f>
        <v>12</v>
      </c>
      <c r="L134" s="577">
        <f>'Fertilizer Plan'!AH78</f>
        <v>0</v>
      </c>
      <c r="M134" s="579">
        <f>'Fertilizer Plan'!AI78</f>
        <v>0</v>
      </c>
      <c r="N134" s="118"/>
      <c r="O134" s="118"/>
      <c r="P134" s="119"/>
      <c r="Q134" s="120"/>
      <c r="R134" s="118"/>
      <c r="S134" s="258"/>
      <c r="T134" s="196"/>
    </row>
    <row r="135" spans="1:29">
      <c r="A135" s="561"/>
      <c r="B135" s="205"/>
      <c r="C135" s="575" t="s">
        <v>121</v>
      </c>
      <c r="D135" s="575" t="s">
        <v>122</v>
      </c>
      <c r="E135" s="575" t="s">
        <v>123</v>
      </c>
      <c r="F135" s="578"/>
      <c r="G135" s="575" t="s">
        <v>121</v>
      </c>
      <c r="H135" s="575" t="s">
        <v>122</v>
      </c>
      <c r="I135" s="575" t="s">
        <v>123</v>
      </c>
      <c r="J135" s="578"/>
      <c r="K135" s="575" t="s">
        <v>121</v>
      </c>
      <c r="L135" s="575" t="s">
        <v>122</v>
      </c>
      <c r="M135" s="576" t="s">
        <v>123</v>
      </c>
      <c r="N135" s="118"/>
      <c r="O135" s="118"/>
      <c r="P135" s="119"/>
      <c r="Q135" s="120"/>
      <c r="R135" s="118"/>
      <c r="S135" s="258"/>
      <c r="T135" s="196"/>
    </row>
    <row r="136" spans="1:29">
      <c r="A136" s="561"/>
      <c r="B136" s="205"/>
      <c r="C136" s="580">
        <f>'Fertilizer Plan'!I81</f>
        <v>0</v>
      </c>
      <c r="D136" s="580">
        <f>'Fertilizer Plan'!J81</f>
        <v>0</v>
      </c>
      <c r="E136" s="580">
        <f>'Fertilizer Plan'!K81</f>
        <v>0</v>
      </c>
      <c r="F136" s="581"/>
      <c r="G136" s="580">
        <f>'Fertilizer Plan'!U81</f>
        <v>0</v>
      </c>
      <c r="H136" s="580">
        <f>'Fertilizer Plan'!V81</f>
        <v>0</v>
      </c>
      <c r="I136" s="580">
        <f>'Fertilizer Plan'!W81</f>
        <v>0</v>
      </c>
      <c r="J136" s="581"/>
      <c r="K136" s="580">
        <f>'Fertilizer Plan'!AG81</f>
        <v>0</v>
      </c>
      <c r="L136" s="580">
        <f>'Fertilizer Plan'!AH81</f>
        <v>0.42899999999999994</v>
      </c>
      <c r="M136" s="582">
        <f>'Fertilizer Plan'!AI81</f>
        <v>0</v>
      </c>
      <c r="N136" s="118"/>
      <c r="O136" s="118"/>
      <c r="P136" s="119"/>
      <c r="Q136" s="120"/>
      <c r="R136" s="118"/>
      <c r="S136" s="258"/>
      <c r="T136" s="196"/>
    </row>
    <row r="137" spans="1:29">
      <c r="A137" s="561"/>
      <c r="B137" s="205"/>
      <c r="C137" s="583"/>
      <c r="D137" s="583"/>
      <c r="E137" s="583"/>
      <c r="F137" s="578"/>
      <c r="G137" s="583"/>
      <c r="H137" s="583"/>
      <c r="I137" s="583"/>
      <c r="J137" s="578"/>
      <c r="K137" s="583"/>
      <c r="L137" s="583"/>
      <c r="M137" s="584"/>
      <c r="N137" s="118"/>
      <c r="O137" s="118"/>
      <c r="P137" s="119"/>
      <c r="Q137" s="120"/>
      <c r="R137" s="118"/>
      <c r="S137" s="258"/>
      <c r="T137" s="196"/>
    </row>
    <row r="138" spans="1:29">
      <c r="A138" s="585"/>
      <c r="B138" s="545"/>
      <c r="C138" s="416" t="s">
        <v>589</v>
      </c>
      <c r="D138" s="559"/>
      <c r="E138" s="559"/>
      <c r="F138" s="849" t="s">
        <v>574</v>
      </c>
      <c r="G138" s="849"/>
      <c r="H138" s="849"/>
      <c r="I138" s="849"/>
      <c r="J138" s="849"/>
      <c r="K138" s="849"/>
      <c r="L138" s="849"/>
      <c r="M138" s="850"/>
      <c r="N138" s="118"/>
      <c r="O138" s="118"/>
      <c r="P138" s="119"/>
      <c r="Q138" s="120"/>
      <c r="R138" s="118"/>
      <c r="S138" s="258"/>
      <c r="T138" s="196"/>
    </row>
    <row r="139" spans="1:29" ht="19.5" thickBot="1">
      <c r="A139" s="436"/>
      <c r="B139" s="437"/>
      <c r="C139" s="437"/>
      <c r="D139" s="437"/>
      <c r="E139" s="437"/>
      <c r="F139" s="437"/>
      <c r="G139" s="437"/>
      <c r="H139" s="437"/>
      <c r="I139" s="437"/>
      <c r="J139" s="437"/>
      <c r="K139" s="437"/>
      <c r="L139" s="437"/>
      <c r="M139" s="438"/>
    </row>
    <row r="140" spans="1:29">
      <c r="A140" s="837" t="s">
        <v>696</v>
      </c>
      <c r="B140" s="838"/>
      <c r="C140" s="838"/>
      <c r="D140" s="838"/>
      <c r="E140" s="838"/>
      <c r="F140" s="838"/>
      <c r="G140" s="838"/>
      <c r="H140" s="838"/>
      <c r="I140" s="838"/>
      <c r="J140" s="838"/>
      <c r="K140" s="838"/>
      <c r="L140" s="838"/>
      <c r="M140" s="839"/>
    </row>
    <row r="141" spans="1:29">
      <c r="A141" s="435"/>
      <c r="B141" s="196"/>
      <c r="C141" s="196"/>
      <c r="D141" s="196"/>
      <c r="E141" s="196"/>
      <c r="F141" s="196"/>
      <c r="G141" s="196"/>
      <c r="H141" s="196"/>
      <c r="I141" s="196"/>
      <c r="J141" s="196"/>
      <c r="K141" s="196"/>
      <c r="L141" s="196"/>
      <c r="M141" s="258"/>
    </row>
    <row r="142" spans="1:29">
      <c r="A142" s="435"/>
      <c r="B142" s="196"/>
      <c r="C142" s="196"/>
      <c r="D142" s="196"/>
      <c r="E142" s="196"/>
      <c r="F142" s="196"/>
      <c r="G142" s="196"/>
      <c r="H142" s="196"/>
      <c r="I142" s="196"/>
      <c r="J142" s="196"/>
      <c r="K142" s="196"/>
      <c r="L142" s="196"/>
      <c r="M142" s="258"/>
    </row>
    <row r="143" spans="1:29">
      <c r="A143" s="435"/>
      <c r="B143" s="196"/>
      <c r="C143" s="196"/>
      <c r="D143" s="196"/>
      <c r="E143" s="196"/>
      <c r="F143" s="196"/>
      <c r="G143" s="196"/>
      <c r="H143" s="196"/>
      <c r="I143" s="196"/>
      <c r="J143" s="196"/>
      <c r="K143" s="196"/>
      <c r="L143" s="196"/>
      <c r="M143" s="258"/>
    </row>
    <row r="144" spans="1:29">
      <c r="A144" s="435"/>
      <c r="B144" s="196"/>
      <c r="C144" s="196"/>
      <c r="D144" s="196"/>
      <c r="E144" s="196"/>
      <c r="F144" s="196"/>
      <c r="G144" s="196"/>
      <c r="H144" s="196"/>
      <c r="I144" s="196"/>
      <c r="J144" s="196"/>
      <c r="K144" s="196"/>
      <c r="L144" s="196"/>
      <c r="M144" s="258"/>
    </row>
    <row r="145" spans="1:13">
      <c r="A145" s="435"/>
      <c r="B145" s="196"/>
      <c r="C145" s="196"/>
      <c r="D145" s="196"/>
      <c r="E145" s="196"/>
      <c r="F145" s="196"/>
      <c r="G145" s="196"/>
      <c r="H145" s="196"/>
      <c r="I145" s="196"/>
      <c r="J145" s="196"/>
      <c r="K145" s="196"/>
      <c r="L145" s="196"/>
      <c r="M145" s="258"/>
    </row>
    <row r="146" spans="1:13">
      <c r="A146" s="435"/>
      <c r="B146" s="196"/>
      <c r="C146" s="196"/>
      <c r="D146" s="196"/>
      <c r="E146" s="196"/>
      <c r="F146" s="196"/>
      <c r="G146" s="196"/>
      <c r="H146" s="196"/>
      <c r="I146" s="196"/>
      <c r="J146" s="196"/>
      <c r="K146" s="196"/>
      <c r="L146" s="196"/>
      <c r="M146" s="258"/>
    </row>
    <row r="147" spans="1:13">
      <c r="A147" s="435"/>
      <c r="B147" s="196"/>
      <c r="C147" s="196"/>
      <c r="D147" s="196"/>
      <c r="E147" s="196"/>
      <c r="F147" s="196"/>
      <c r="G147" s="196"/>
      <c r="H147" s="196"/>
      <c r="I147" s="196"/>
      <c r="J147" s="196"/>
      <c r="K147" s="196"/>
      <c r="L147" s="196"/>
      <c r="M147" s="258"/>
    </row>
    <row r="148" spans="1:13">
      <c r="A148" s="435"/>
      <c r="B148" s="196"/>
      <c r="C148" s="196"/>
      <c r="D148" s="196"/>
      <c r="E148" s="196"/>
      <c r="F148" s="196"/>
      <c r="G148" s="196"/>
      <c r="H148" s="196"/>
      <c r="I148" s="196"/>
      <c r="J148" s="196"/>
      <c r="K148" s="196"/>
      <c r="L148" s="196"/>
      <c r="M148" s="258"/>
    </row>
    <row r="149" spans="1:13">
      <c r="A149" s="435"/>
      <c r="B149" s="196"/>
      <c r="C149" s="196"/>
      <c r="D149" s="196"/>
      <c r="E149" s="196"/>
      <c r="F149" s="196"/>
      <c r="G149" s="196"/>
      <c r="H149" s="196"/>
      <c r="I149" s="196"/>
      <c r="J149" s="196"/>
      <c r="K149" s="196"/>
      <c r="L149" s="196"/>
      <c r="M149" s="258"/>
    </row>
    <row r="150" spans="1:13">
      <c r="A150" s="435"/>
      <c r="B150" s="196"/>
      <c r="C150" s="196"/>
      <c r="D150" s="196"/>
      <c r="E150" s="196"/>
      <c r="F150" s="196"/>
      <c r="G150" s="196"/>
      <c r="H150" s="196"/>
      <c r="I150" s="196"/>
      <c r="J150" s="196"/>
      <c r="K150" s="196"/>
      <c r="L150" s="196"/>
      <c r="M150" s="258"/>
    </row>
    <row r="151" spans="1:13">
      <c r="A151" s="435"/>
      <c r="B151" s="196"/>
      <c r="C151" s="196"/>
      <c r="D151" s="196"/>
      <c r="E151" s="196"/>
      <c r="F151" s="196"/>
      <c r="G151" s="196"/>
      <c r="H151" s="196"/>
      <c r="I151" s="196"/>
      <c r="J151" s="196"/>
      <c r="K151" s="196"/>
      <c r="L151" s="196"/>
      <c r="M151" s="258"/>
    </row>
    <row r="152" spans="1:13">
      <c r="A152" s="435"/>
      <c r="B152" s="196"/>
      <c r="C152" s="196"/>
      <c r="D152" s="196"/>
      <c r="E152" s="196"/>
      <c r="F152" s="196"/>
      <c r="G152" s="196"/>
      <c r="H152" s="196"/>
      <c r="I152" s="196"/>
      <c r="J152" s="196"/>
      <c r="K152" s="196"/>
      <c r="L152" s="196"/>
      <c r="M152" s="258"/>
    </row>
    <row r="153" spans="1:13">
      <c r="A153" s="435"/>
      <c r="B153" s="196"/>
      <c r="C153" s="196"/>
      <c r="D153" s="196"/>
      <c r="E153" s="196"/>
      <c r="F153" s="196"/>
      <c r="G153" s="196"/>
      <c r="H153" s="196"/>
      <c r="I153" s="196"/>
      <c r="J153" s="196"/>
      <c r="K153" s="196"/>
      <c r="L153" s="196"/>
      <c r="M153" s="258"/>
    </row>
    <row r="154" spans="1:13">
      <c r="A154" s="435"/>
      <c r="B154" s="196"/>
      <c r="C154" s="196"/>
      <c r="D154" s="196"/>
      <c r="E154" s="196"/>
      <c r="F154" s="196"/>
      <c r="G154" s="196"/>
      <c r="H154" s="196"/>
      <c r="I154" s="196"/>
      <c r="J154" s="196"/>
      <c r="K154" s="196"/>
      <c r="L154" s="196"/>
      <c r="M154" s="258"/>
    </row>
    <row r="155" spans="1:13">
      <c r="A155" s="435"/>
      <c r="B155" s="196"/>
      <c r="C155" s="196"/>
      <c r="D155" s="196"/>
      <c r="E155" s="196"/>
      <c r="F155" s="196"/>
      <c r="G155" s="196"/>
      <c r="H155" s="196"/>
      <c r="I155" s="196"/>
      <c r="J155" s="196"/>
      <c r="K155" s="196"/>
      <c r="L155" s="196"/>
      <c r="M155" s="258"/>
    </row>
    <row r="156" spans="1:13">
      <c r="A156" s="435"/>
      <c r="B156" s="196"/>
      <c r="C156" s="196"/>
      <c r="D156" s="196"/>
      <c r="E156" s="196"/>
      <c r="F156" s="196"/>
      <c r="G156" s="196"/>
      <c r="H156" s="196"/>
      <c r="I156" s="196"/>
      <c r="J156" s="196"/>
      <c r="K156" s="196"/>
      <c r="L156" s="196"/>
      <c r="M156" s="258"/>
    </row>
    <row r="157" spans="1:13">
      <c r="A157" s="435"/>
      <c r="B157" s="196"/>
      <c r="C157" s="196"/>
      <c r="D157" s="196"/>
      <c r="E157" s="196"/>
      <c r="F157" s="196"/>
      <c r="G157" s="196"/>
      <c r="H157" s="196"/>
      <c r="I157" s="196"/>
      <c r="J157" s="196"/>
      <c r="K157" s="196"/>
      <c r="L157" s="196"/>
      <c r="M157" s="258"/>
    </row>
    <row r="158" spans="1:13">
      <c r="A158" s="435"/>
      <c r="B158" s="196"/>
      <c r="C158" s="196"/>
      <c r="D158" s="196"/>
      <c r="E158" s="196"/>
      <c r="F158" s="196"/>
      <c r="G158" s="196"/>
      <c r="H158" s="196"/>
      <c r="I158" s="196"/>
      <c r="J158" s="196"/>
      <c r="K158" s="196"/>
      <c r="L158" s="196"/>
      <c r="M158" s="258"/>
    </row>
    <row r="159" spans="1:13">
      <c r="A159" s="435"/>
      <c r="B159" s="196"/>
      <c r="C159" s="196"/>
      <c r="D159" s="196"/>
      <c r="E159" s="196"/>
      <c r="F159" s="196"/>
      <c r="G159" s="196"/>
      <c r="H159" s="196"/>
      <c r="I159" s="196"/>
      <c r="J159" s="196"/>
      <c r="K159" s="196"/>
      <c r="L159" s="196"/>
      <c r="M159" s="258"/>
    </row>
    <row r="160" spans="1:13">
      <c r="A160" s="435"/>
      <c r="B160" s="196"/>
      <c r="C160" s="196"/>
      <c r="D160" s="196"/>
      <c r="E160" s="196"/>
      <c r="F160" s="196"/>
      <c r="G160" s="196"/>
      <c r="H160" s="196"/>
      <c r="I160" s="196"/>
      <c r="J160" s="196"/>
      <c r="K160" s="196"/>
      <c r="L160" s="196"/>
      <c r="M160" s="258"/>
    </row>
    <row r="161" spans="1:13">
      <c r="A161" s="435"/>
      <c r="B161" s="196"/>
      <c r="C161" s="196"/>
      <c r="D161" s="196"/>
      <c r="E161" s="196"/>
      <c r="F161" s="196"/>
      <c r="G161" s="196"/>
      <c r="H161" s="196"/>
      <c r="I161" s="196"/>
      <c r="J161" s="196"/>
      <c r="K161" s="196"/>
      <c r="L161" s="196"/>
      <c r="M161" s="258"/>
    </row>
    <row r="162" spans="1:13">
      <c r="A162" s="435"/>
      <c r="B162" s="196"/>
      <c r="C162" s="196"/>
      <c r="D162" s="196"/>
      <c r="E162" s="196"/>
      <c r="F162" s="196"/>
      <c r="G162" s="196"/>
      <c r="H162" s="196"/>
      <c r="I162" s="196"/>
      <c r="J162" s="196"/>
      <c r="K162" s="196"/>
      <c r="L162" s="196"/>
      <c r="M162" s="258"/>
    </row>
    <row r="163" spans="1:13">
      <c r="A163" s="435"/>
      <c r="B163" s="196"/>
      <c r="C163" s="196"/>
      <c r="D163" s="196"/>
      <c r="E163" s="196"/>
      <c r="F163" s="196"/>
      <c r="G163" s="196"/>
      <c r="H163" s="196"/>
      <c r="I163" s="196"/>
      <c r="J163" s="196"/>
      <c r="K163" s="196"/>
      <c r="L163" s="196"/>
      <c r="M163" s="258"/>
    </row>
    <row r="164" spans="1:13">
      <c r="A164" s="435"/>
      <c r="B164" s="196"/>
      <c r="C164" s="196"/>
      <c r="D164" s="196"/>
      <c r="E164" s="196"/>
      <c r="F164" s="196"/>
      <c r="G164" s="196"/>
      <c r="H164" s="196"/>
      <c r="I164" s="196"/>
      <c r="J164" s="196"/>
      <c r="K164" s="196"/>
      <c r="L164" s="196"/>
      <c r="M164" s="258"/>
    </row>
    <row r="165" spans="1:13">
      <c r="A165" s="435"/>
      <c r="B165" s="196"/>
      <c r="C165" s="196"/>
      <c r="D165" s="196"/>
      <c r="E165" s="196"/>
      <c r="F165" s="196"/>
      <c r="G165" s="196"/>
      <c r="H165" s="196"/>
      <c r="I165" s="196"/>
      <c r="J165" s="196"/>
      <c r="K165" s="196"/>
      <c r="L165" s="196"/>
      <c r="M165" s="258"/>
    </row>
    <row r="166" spans="1:13">
      <c r="A166" s="435"/>
      <c r="B166" s="196"/>
      <c r="C166" s="196"/>
      <c r="D166" s="196"/>
      <c r="E166" s="196"/>
      <c r="F166" s="196"/>
      <c r="G166" s="196"/>
      <c r="H166" s="196"/>
      <c r="I166" s="196"/>
      <c r="J166" s="196"/>
      <c r="K166" s="196"/>
      <c r="L166" s="196"/>
      <c r="M166" s="258"/>
    </row>
    <row r="167" spans="1:13">
      <c r="A167" s="435"/>
      <c r="B167" s="196"/>
      <c r="C167" s="196"/>
      <c r="D167" s="196"/>
      <c r="E167" s="196"/>
      <c r="F167" s="196"/>
      <c r="G167" s="196"/>
      <c r="H167" s="196"/>
      <c r="I167" s="196"/>
      <c r="J167" s="196"/>
      <c r="K167" s="196"/>
      <c r="L167" s="196"/>
      <c r="M167" s="258"/>
    </row>
    <row r="168" spans="1:13">
      <c r="A168" s="435"/>
      <c r="B168" s="196"/>
      <c r="C168" s="196"/>
      <c r="D168" s="196"/>
      <c r="E168" s="196"/>
      <c r="F168" s="196"/>
      <c r="G168" s="196"/>
      <c r="H168" s="196"/>
      <c r="I168" s="196"/>
      <c r="J168" s="196"/>
      <c r="K168" s="196"/>
      <c r="L168" s="196"/>
      <c r="M168" s="258"/>
    </row>
    <row r="169" spans="1:13">
      <c r="A169" s="435"/>
      <c r="B169" s="196"/>
      <c r="C169" s="196"/>
      <c r="D169" s="196"/>
      <c r="E169" s="196"/>
      <c r="F169" s="196"/>
      <c r="G169" s="196"/>
      <c r="H169" s="196"/>
      <c r="I169" s="196"/>
      <c r="J169" s="196"/>
      <c r="K169" s="196"/>
      <c r="L169" s="196"/>
      <c r="M169" s="258"/>
    </row>
    <row r="170" spans="1:13">
      <c r="A170" s="435"/>
      <c r="B170" s="196"/>
      <c r="C170" s="196"/>
      <c r="D170" s="196"/>
      <c r="E170" s="196"/>
      <c r="F170" s="196"/>
      <c r="G170" s="196"/>
      <c r="H170" s="196"/>
      <c r="I170" s="196"/>
      <c r="J170" s="196"/>
      <c r="K170" s="196"/>
      <c r="L170" s="196"/>
      <c r="M170" s="258"/>
    </row>
    <row r="171" spans="1:13">
      <c r="A171" s="435"/>
      <c r="B171" s="196"/>
      <c r="C171" s="196"/>
      <c r="D171" s="196"/>
      <c r="E171" s="196"/>
      <c r="F171" s="196"/>
      <c r="G171" s="196"/>
      <c r="H171" s="196"/>
      <c r="I171" s="196"/>
      <c r="J171" s="196"/>
      <c r="K171" s="196"/>
      <c r="L171" s="196"/>
      <c r="M171" s="258"/>
    </row>
    <row r="172" spans="1:13">
      <c r="A172" s="435"/>
      <c r="B172" s="196"/>
      <c r="C172" s="196"/>
      <c r="D172" s="196"/>
      <c r="E172" s="196"/>
      <c r="F172" s="196"/>
      <c r="G172" s="196"/>
      <c r="H172" s="196"/>
      <c r="I172" s="196"/>
      <c r="J172" s="196"/>
      <c r="K172" s="196"/>
      <c r="L172" s="196"/>
      <c r="M172" s="258"/>
    </row>
    <row r="173" spans="1:13">
      <c r="A173" s="435"/>
      <c r="B173" s="196"/>
      <c r="C173" s="196"/>
      <c r="D173" s="196"/>
      <c r="E173" s="196"/>
      <c r="F173" s="196"/>
      <c r="G173" s="196"/>
      <c r="H173" s="196"/>
      <c r="I173" s="196"/>
      <c r="J173" s="196"/>
      <c r="K173" s="196"/>
      <c r="L173" s="196"/>
      <c r="M173" s="258"/>
    </row>
    <row r="174" spans="1:13">
      <c r="A174" s="435"/>
      <c r="B174" s="196"/>
      <c r="C174" s="196"/>
      <c r="D174" s="196"/>
      <c r="E174" s="196"/>
      <c r="F174" s="196"/>
      <c r="G174" s="196"/>
      <c r="H174" s="196"/>
      <c r="I174" s="196"/>
      <c r="J174" s="196"/>
      <c r="K174" s="196"/>
      <c r="L174" s="196"/>
      <c r="M174" s="258"/>
    </row>
    <row r="175" spans="1:13">
      <c r="A175" s="435"/>
      <c r="B175" s="196"/>
      <c r="C175" s="196"/>
      <c r="D175" s="196"/>
      <c r="E175" s="196"/>
      <c r="F175" s="196"/>
      <c r="G175" s="196"/>
      <c r="H175" s="196"/>
      <c r="I175" s="196"/>
      <c r="J175" s="196"/>
      <c r="K175" s="196"/>
      <c r="L175" s="196"/>
      <c r="M175" s="258"/>
    </row>
    <row r="176" spans="1:13">
      <c r="A176" s="435"/>
      <c r="B176" s="196"/>
      <c r="C176" s="196"/>
      <c r="D176" s="196"/>
      <c r="E176" s="196"/>
      <c r="F176" s="196"/>
      <c r="G176" s="196"/>
      <c r="H176" s="196"/>
      <c r="I176" s="196"/>
      <c r="J176" s="196"/>
      <c r="K176" s="196"/>
      <c r="L176" s="196"/>
      <c r="M176" s="258"/>
    </row>
    <row r="177" spans="1:13">
      <c r="A177" s="435"/>
      <c r="B177" s="196"/>
      <c r="C177" s="196"/>
      <c r="D177" s="196"/>
      <c r="E177" s="196"/>
      <c r="F177" s="196"/>
      <c r="G177" s="196"/>
      <c r="H177" s="196"/>
      <c r="I177" s="196"/>
      <c r="J177" s="196"/>
      <c r="K177" s="196"/>
      <c r="L177" s="196"/>
      <c r="M177" s="258"/>
    </row>
    <row r="178" spans="1:13">
      <c r="A178" s="435"/>
      <c r="B178" s="196"/>
      <c r="C178" s="196"/>
      <c r="D178" s="196"/>
      <c r="E178" s="196"/>
      <c r="F178" s="196"/>
      <c r="G178" s="196"/>
      <c r="H178" s="196"/>
      <c r="I178" s="196"/>
      <c r="J178" s="196"/>
      <c r="K178" s="196"/>
      <c r="L178" s="196"/>
      <c r="M178" s="258"/>
    </row>
    <row r="179" spans="1:13">
      <c r="A179" s="435"/>
      <c r="B179" s="196"/>
      <c r="C179" s="196"/>
      <c r="D179" s="196"/>
      <c r="E179" s="196"/>
      <c r="F179" s="196"/>
      <c r="G179" s="196"/>
      <c r="H179" s="196"/>
      <c r="I179" s="196"/>
      <c r="J179" s="196"/>
      <c r="K179" s="196"/>
      <c r="L179" s="196"/>
      <c r="M179" s="258"/>
    </row>
    <row r="180" spans="1:13">
      <c r="A180" s="435"/>
      <c r="B180" s="196"/>
      <c r="C180" s="196"/>
      <c r="D180" s="196"/>
      <c r="E180" s="196"/>
      <c r="F180" s="196"/>
      <c r="G180" s="196"/>
      <c r="H180" s="196"/>
      <c r="I180" s="196"/>
      <c r="J180" s="196"/>
      <c r="K180" s="196"/>
      <c r="L180" s="196"/>
      <c r="M180" s="258"/>
    </row>
    <row r="181" spans="1:13">
      <c r="A181" s="435"/>
      <c r="B181" s="196"/>
      <c r="C181" s="196"/>
      <c r="D181" s="196"/>
      <c r="E181" s="196"/>
      <c r="F181" s="196"/>
      <c r="G181" s="196"/>
      <c r="H181" s="196"/>
      <c r="I181" s="196"/>
      <c r="J181" s="196"/>
      <c r="K181" s="196"/>
      <c r="L181" s="196"/>
      <c r="M181" s="258"/>
    </row>
    <row r="182" spans="1:13">
      <c r="A182" s="435"/>
      <c r="B182" s="196"/>
      <c r="C182" s="196"/>
      <c r="D182" s="196"/>
      <c r="E182" s="196"/>
      <c r="F182" s="196"/>
      <c r="G182" s="196"/>
      <c r="H182" s="196"/>
      <c r="I182" s="196"/>
      <c r="J182" s="196"/>
      <c r="K182" s="196"/>
      <c r="L182" s="196"/>
      <c r="M182" s="258"/>
    </row>
    <row r="183" spans="1:13">
      <c r="A183" s="435"/>
      <c r="B183" s="196"/>
      <c r="C183" s="196"/>
      <c r="D183" s="196"/>
      <c r="E183" s="196"/>
      <c r="F183" s="196"/>
      <c r="G183" s="196"/>
      <c r="H183" s="196"/>
      <c r="I183" s="196"/>
      <c r="J183" s="196"/>
      <c r="K183" s="196"/>
      <c r="L183" s="196"/>
      <c r="M183" s="258"/>
    </row>
    <row r="184" spans="1:13">
      <c r="A184" s="435"/>
      <c r="B184" s="196"/>
      <c r="C184" s="196"/>
      <c r="D184" s="196"/>
      <c r="E184" s="196"/>
      <c r="F184" s="196"/>
      <c r="G184" s="196"/>
      <c r="H184" s="196"/>
      <c r="I184" s="196"/>
      <c r="J184" s="196"/>
      <c r="K184" s="196"/>
      <c r="L184" s="196"/>
      <c r="M184" s="258"/>
    </row>
    <row r="185" spans="1:13">
      <c r="A185" s="435"/>
      <c r="B185" s="196"/>
      <c r="C185" s="196"/>
      <c r="D185" s="196"/>
      <c r="E185" s="196"/>
      <c r="F185" s="196"/>
      <c r="G185" s="196"/>
      <c r="H185" s="196"/>
      <c r="I185" s="196"/>
      <c r="J185" s="196"/>
      <c r="K185" s="196"/>
      <c r="L185" s="196"/>
      <c r="M185" s="258"/>
    </row>
    <row r="186" spans="1:13">
      <c r="A186" s="435"/>
      <c r="B186" s="196"/>
      <c r="C186" s="196"/>
      <c r="D186" s="196"/>
      <c r="E186" s="196"/>
      <c r="F186" s="196"/>
      <c r="G186" s="196"/>
      <c r="H186" s="196"/>
      <c r="I186" s="196"/>
      <c r="J186" s="196"/>
      <c r="K186" s="196"/>
      <c r="L186" s="196"/>
      <c r="M186" s="258"/>
    </row>
    <row r="187" spans="1:13">
      <c r="A187" s="435"/>
      <c r="B187" s="196"/>
      <c r="C187" s="196"/>
      <c r="D187" s="196"/>
      <c r="E187" s="196"/>
      <c r="F187" s="196"/>
      <c r="G187" s="196"/>
      <c r="H187" s="196"/>
      <c r="I187" s="196"/>
      <c r="J187" s="196"/>
      <c r="K187" s="196"/>
      <c r="L187" s="196"/>
      <c r="M187" s="258"/>
    </row>
    <row r="188" spans="1:13">
      <c r="A188" s="435"/>
      <c r="B188" s="196"/>
      <c r="C188" s="196"/>
      <c r="D188" s="196"/>
      <c r="E188" s="196"/>
      <c r="F188" s="196"/>
      <c r="G188" s="196"/>
      <c r="H188" s="196"/>
      <c r="I188" s="196"/>
      <c r="J188" s="196"/>
      <c r="K188" s="196"/>
      <c r="L188" s="196"/>
      <c r="M188" s="258"/>
    </row>
    <row r="189" spans="1:13">
      <c r="A189" s="435"/>
      <c r="B189" s="196"/>
      <c r="C189" s="196"/>
      <c r="D189" s="196"/>
      <c r="E189" s="196"/>
      <c r="F189" s="196"/>
      <c r="G189" s="196"/>
      <c r="H189" s="196"/>
      <c r="I189" s="196"/>
      <c r="J189" s="196"/>
      <c r="K189" s="196"/>
      <c r="L189" s="196"/>
      <c r="M189" s="258"/>
    </row>
    <row r="190" spans="1:13">
      <c r="A190" s="435"/>
      <c r="B190" s="196"/>
      <c r="C190" s="196"/>
      <c r="D190" s="196"/>
      <c r="E190" s="196"/>
      <c r="F190" s="196"/>
      <c r="G190" s="196"/>
      <c r="H190" s="196"/>
      <c r="I190" s="196"/>
      <c r="J190" s="196"/>
      <c r="K190" s="196"/>
      <c r="L190" s="196"/>
      <c r="M190" s="258"/>
    </row>
    <row r="191" spans="1:13">
      <c r="A191" s="435"/>
      <c r="B191" s="196"/>
      <c r="C191" s="196"/>
      <c r="D191" s="196"/>
      <c r="E191" s="196"/>
      <c r="F191" s="196"/>
      <c r="G191" s="196"/>
      <c r="H191" s="196"/>
      <c r="I191" s="196"/>
      <c r="J191" s="196"/>
      <c r="K191" s="196"/>
      <c r="L191" s="196"/>
      <c r="M191" s="258"/>
    </row>
    <row r="192" spans="1:13">
      <c r="A192" s="435"/>
      <c r="B192" s="196"/>
      <c r="C192" s="196"/>
      <c r="D192" s="196"/>
      <c r="E192" s="196"/>
      <c r="F192" s="196"/>
      <c r="G192" s="196"/>
      <c r="H192" s="196"/>
      <c r="I192" s="196"/>
      <c r="J192" s="196"/>
      <c r="K192" s="196"/>
      <c r="L192" s="196"/>
      <c r="M192" s="258"/>
    </row>
    <row r="193" spans="1:13">
      <c r="A193" s="435"/>
      <c r="B193" s="196"/>
      <c r="C193" s="196"/>
      <c r="D193" s="196"/>
      <c r="E193" s="196"/>
      <c r="F193" s="196"/>
      <c r="G193" s="196"/>
      <c r="H193" s="196"/>
      <c r="I193" s="196"/>
      <c r="J193" s="196"/>
      <c r="K193" s="196"/>
      <c r="L193" s="196"/>
      <c r="M193" s="258"/>
    </row>
    <row r="194" spans="1:13">
      <c r="A194" s="435"/>
      <c r="B194" s="196"/>
      <c r="C194" s="196"/>
      <c r="D194" s="196"/>
      <c r="E194" s="196"/>
      <c r="F194" s="196"/>
      <c r="G194" s="196"/>
      <c r="H194" s="196"/>
      <c r="I194" s="196"/>
      <c r="J194" s="196"/>
      <c r="K194" s="196"/>
      <c r="L194" s="196"/>
      <c r="M194" s="258"/>
    </row>
    <row r="195" spans="1:13">
      <c r="A195" s="435"/>
      <c r="B195" s="196"/>
      <c r="C195" s="196"/>
      <c r="D195" s="196"/>
      <c r="E195" s="196"/>
      <c r="F195" s="196"/>
      <c r="G195" s="196"/>
      <c r="H195" s="196"/>
      <c r="I195" s="196"/>
      <c r="J195" s="196"/>
      <c r="K195" s="196"/>
      <c r="L195" s="196"/>
      <c r="M195" s="258"/>
    </row>
    <row r="196" spans="1:13">
      <c r="A196" s="435"/>
      <c r="B196" s="196"/>
      <c r="C196" s="196"/>
      <c r="D196" s="196"/>
      <c r="E196" s="196"/>
      <c r="F196" s="196"/>
      <c r="G196" s="196"/>
      <c r="H196" s="196"/>
      <c r="I196" s="196"/>
      <c r="J196" s="196"/>
      <c r="K196" s="196"/>
      <c r="L196" s="196"/>
      <c r="M196" s="258"/>
    </row>
    <row r="197" spans="1:13">
      <c r="A197" s="435"/>
      <c r="B197" s="196"/>
      <c r="C197" s="196"/>
      <c r="D197" s="196"/>
      <c r="E197" s="196"/>
      <c r="F197" s="196"/>
      <c r="G197" s="196"/>
      <c r="H197" s="196"/>
      <c r="I197" s="196"/>
      <c r="J197" s="196"/>
      <c r="K197" s="196"/>
      <c r="L197" s="196"/>
      <c r="M197" s="258"/>
    </row>
    <row r="198" spans="1:13">
      <c r="A198" s="435"/>
      <c r="B198" s="196"/>
      <c r="C198" s="196"/>
      <c r="D198" s="196"/>
      <c r="E198" s="196"/>
      <c r="F198" s="196"/>
      <c r="G198" s="196"/>
      <c r="H198" s="196"/>
      <c r="I198" s="196"/>
      <c r="J198" s="196"/>
      <c r="K198" s="196"/>
      <c r="L198" s="196"/>
      <c r="M198" s="258"/>
    </row>
    <row r="199" spans="1:13">
      <c r="A199" s="435"/>
      <c r="B199" s="196"/>
      <c r="C199" s="196"/>
      <c r="D199" s="196"/>
      <c r="E199" s="196"/>
      <c r="F199" s="196"/>
      <c r="G199" s="196"/>
      <c r="H199" s="196"/>
      <c r="I199" s="196"/>
      <c r="J199" s="196"/>
      <c r="K199" s="196"/>
      <c r="L199" s="196"/>
      <c r="M199" s="258"/>
    </row>
    <row r="200" spans="1:13" ht="19.5" thickBot="1">
      <c r="A200" s="436"/>
      <c r="B200" s="437"/>
      <c r="C200" s="437"/>
      <c r="D200" s="437"/>
      <c r="E200" s="437"/>
      <c r="F200" s="437"/>
      <c r="G200" s="437"/>
      <c r="H200" s="437"/>
      <c r="I200" s="437"/>
      <c r="J200" s="437"/>
      <c r="K200" s="437"/>
      <c r="L200" s="437"/>
      <c r="M200" s="438"/>
    </row>
  </sheetData>
  <sheetProtection algorithmName="SHA-512" hashValue="wRaRWaImevh46o7cc0Nf/sAabU5hprFVYU//3r5NX2xbiZyj3apx4dxkskM7E9ApsYVZ8ujlDgjsLFa8VdQIIg==" saltValue="gpAuFYnp2aqfOPGlnHUR2Q==" spinCount="100000" sheet="1" objects="1" scenarios="1"/>
  <mergeCells count="63">
    <mergeCell ref="A77:M77"/>
    <mergeCell ref="R9:S9"/>
    <mergeCell ref="N9:O9"/>
    <mergeCell ref="P9:Q9"/>
    <mergeCell ref="A5:M5"/>
    <mergeCell ref="A7:M7"/>
    <mergeCell ref="A6:M6"/>
    <mergeCell ref="A67:M67"/>
    <mergeCell ref="A20:A21"/>
    <mergeCell ref="B20:B21"/>
    <mergeCell ref="C10:E10"/>
    <mergeCell ref="G10:I10"/>
    <mergeCell ref="K10:M10"/>
    <mergeCell ref="A1:M2"/>
    <mergeCell ref="C9:E9"/>
    <mergeCell ref="G9:I9"/>
    <mergeCell ref="K9:M9"/>
    <mergeCell ref="A3:M3"/>
    <mergeCell ref="A4:M4"/>
    <mergeCell ref="F138:M138"/>
    <mergeCell ref="A122:M122"/>
    <mergeCell ref="A104:M104"/>
    <mergeCell ref="D92:E92"/>
    <mergeCell ref="H92:I92"/>
    <mergeCell ref="L92:M92"/>
    <mergeCell ref="D93:E93"/>
    <mergeCell ref="H93:I93"/>
    <mergeCell ref="L93:M93"/>
    <mergeCell ref="D94:E94"/>
    <mergeCell ref="H94:I94"/>
    <mergeCell ref="L94:M94"/>
    <mergeCell ref="D96:E96"/>
    <mergeCell ref="H96:I96"/>
    <mergeCell ref="L96:M96"/>
    <mergeCell ref="D97:E97"/>
    <mergeCell ref="L87:M87"/>
    <mergeCell ref="D100:E100"/>
    <mergeCell ref="H100:I100"/>
    <mergeCell ref="L100:M100"/>
    <mergeCell ref="D101:E101"/>
    <mergeCell ref="H101:I101"/>
    <mergeCell ref="L101:M101"/>
    <mergeCell ref="H97:I97"/>
    <mergeCell ref="L97:M97"/>
    <mergeCell ref="D98:E98"/>
    <mergeCell ref="H98:I98"/>
    <mergeCell ref="L98:M98"/>
    <mergeCell ref="A140:M140"/>
    <mergeCell ref="D102:E102"/>
    <mergeCell ref="H102:I102"/>
    <mergeCell ref="L102:M102"/>
    <mergeCell ref="A86:M86"/>
    <mergeCell ref="D89:E89"/>
    <mergeCell ref="D88:E88"/>
    <mergeCell ref="L89:M89"/>
    <mergeCell ref="L90:M90"/>
    <mergeCell ref="H89:I89"/>
    <mergeCell ref="H90:I90"/>
    <mergeCell ref="D90:E90"/>
    <mergeCell ref="L88:M88"/>
    <mergeCell ref="H88:I88"/>
    <mergeCell ref="H87:I87"/>
    <mergeCell ref="D87:E87"/>
  </mergeCells>
  <conditionalFormatting sqref="L58:L62">
    <cfRule type="dataBar" priority="561">
      <dataBar showValue="0">
        <cfvo type="min"/>
        <cfvo type="max"/>
        <color rgb="FF63C384"/>
      </dataBar>
      <extLst>
        <ext xmlns:x14="http://schemas.microsoft.com/office/spreadsheetml/2009/9/main" uri="{B025F937-C7B1-47D3-B67F-A62EFF666E3E}">
          <x14:id>{4F918F03-759B-40BA-A88B-680B640ED8F4}</x14:id>
        </ext>
      </extLst>
    </cfRule>
  </conditionalFormatting>
  <conditionalFormatting sqref="H58:H62">
    <cfRule type="dataBar" priority="562">
      <dataBar showValue="0">
        <cfvo type="min"/>
        <cfvo type="max"/>
        <color rgb="FF63C384"/>
      </dataBar>
      <extLst>
        <ext xmlns:x14="http://schemas.microsoft.com/office/spreadsheetml/2009/9/main" uri="{B025F937-C7B1-47D3-B67F-A62EFF666E3E}">
          <x14:id>{2A1A8D49-D5EF-4887-A5B3-2AB7ABDC1709}</x14:id>
        </ext>
      </extLst>
    </cfRule>
  </conditionalFormatting>
  <conditionalFormatting sqref="D58:D62">
    <cfRule type="dataBar" priority="563">
      <dataBar showValue="0">
        <cfvo type="min"/>
        <cfvo type="max"/>
        <color rgb="FF63C384"/>
      </dataBar>
      <extLst>
        <ext xmlns:x14="http://schemas.microsoft.com/office/spreadsheetml/2009/9/main" uri="{B025F937-C7B1-47D3-B67F-A62EFF666E3E}">
          <x14:id>{ABF07D87-9307-466F-B423-AD86C2B8D024}</x14:id>
        </ext>
      </extLst>
    </cfRule>
  </conditionalFormatting>
  <conditionalFormatting sqref="D25:D53">
    <cfRule type="dataBar" priority="570">
      <dataBar showValue="0">
        <cfvo type="min"/>
        <cfvo type="max"/>
        <color rgb="FF63C384"/>
      </dataBar>
      <extLst>
        <ext xmlns:x14="http://schemas.microsoft.com/office/spreadsheetml/2009/9/main" uri="{B025F937-C7B1-47D3-B67F-A62EFF666E3E}">
          <x14:id>{DFFD5CBF-4274-4041-81CA-88DEBFB189B6}</x14:id>
        </ext>
      </extLst>
    </cfRule>
  </conditionalFormatting>
  <conditionalFormatting sqref="H25:H53">
    <cfRule type="dataBar" priority="572">
      <dataBar showValue="0">
        <cfvo type="min"/>
        <cfvo type="max"/>
        <color rgb="FF63C384"/>
      </dataBar>
      <extLst>
        <ext xmlns:x14="http://schemas.microsoft.com/office/spreadsheetml/2009/9/main" uri="{B025F937-C7B1-47D3-B67F-A62EFF666E3E}">
          <x14:id>{B448E95B-C6F8-453E-A3AE-249FD402675F}</x14:id>
        </ext>
      </extLst>
    </cfRule>
  </conditionalFormatting>
  <conditionalFormatting sqref="L25:L53">
    <cfRule type="dataBar" priority="574">
      <dataBar showValue="0">
        <cfvo type="min"/>
        <cfvo type="max"/>
        <color rgb="FF63C384"/>
      </dataBar>
      <extLst>
        <ext xmlns:x14="http://schemas.microsoft.com/office/spreadsheetml/2009/9/main" uri="{B025F937-C7B1-47D3-B67F-A62EFF666E3E}">
          <x14:id>{174E35D5-C436-4A14-886C-5B51743A4A33}</x14:id>
        </ext>
      </extLst>
    </cfRule>
  </conditionalFormatting>
  <conditionalFormatting sqref="D69:D72">
    <cfRule type="dataBar" priority="576">
      <dataBar showValue="0">
        <cfvo type="min"/>
        <cfvo type="max"/>
        <color rgb="FF63C384"/>
      </dataBar>
      <extLst>
        <ext xmlns:x14="http://schemas.microsoft.com/office/spreadsheetml/2009/9/main" uri="{B025F937-C7B1-47D3-B67F-A62EFF666E3E}">
          <x14:id>{08133580-B0A9-4829-94F8-8E3826767F44}</x14:id>
        </ext>
      </extLst>
    </cfRule>
  </conditionalFormatting>
  <conditionalFormatting sqref="H69:H72">
    <cfRule type="dataBar" priority="577">
      <dataBar showValue="0">
        <cfvo type="min"/>
        <cfvo type="max"/>
        <color rgb="FF63C384"/>
      </dataBar>
      <extLst>
        <ext xmlns:x14="http://schemas.microsoft.com/office/spreadsheetml/2009/9/main" uri="{B025F937-C7B1-47D3-B67F-A62EFF666E3E}">
          <x14:id>{ECAE5CCC-EF50-49AE-93EF-FD70ED20A078}</x14:id>
        </ext>
      </extLst>
    </cfRule>
  </conditionalFormatting>
  <conditionalFormatting sqref="L69:L72">
    <cfRule type="dataBar" priority="578">
      <dataBar showValue="0">
        <cfvo type="min"/>
        <cfvo type="max"/>
        <color rgb="FF63C384"/>
      </dataBar>
      <extLst>
        <ext xmlns:x14="http://schemas.microsoft.com/office/spreadsheetml/2009/9/main" uri="{B025F937-C7B1-47D3-B67F-A62EFF666E3E}">
          <x14:id>{1B7AB26F-0845-4547-BD62-D24C8DBDA6E0}</x14:id>
        </ext>
      </extLst>
    </cfRule>
  </conditionalFormatting>
  <conditionalFormatting sqref="D79:D80">
    <cfRule type="dataBar" priority="579">
      <dataBar showValue="0">
        <cfvo type="min"/>
        <cfvo type="max"/>
        <color rgb="FF63C384"/>
      </dataBar>
      <extLst>
        <ext xmlns:x14="http://schemas.microsoft.com/office/spreadsheetml/2009/9/main" uri="{B025F937-C7B1-47D3-B67F-A62EFF666E3E}">
          <x14:id>{9A9F3E77-62BD-4925-AD96-C63EE6A7EA02}</x14:id>
        </ext>
      </extLst>
    </cfRule>
  </conditionalFormatting>
  <conditionalFormatting sqref="H79:H80">
    <cfRule type="dataBar" priority="580">
      <dataBar showValue="0">
        <cfvo type="min"/>
        <cfvo type="max"/>
        <color rgb="FF63C384"/>
      </dataBar>
      <extLst>
        <ext xmlns:x14="http://schemas.microsoft.com/office/spreadsheetml/2009/9/main" uri="{B025F937-C7B1-47D3-B67F-A62EFF666E3E}">
          <x14:id>{53A66F99-7791-46CD-89E7-7346DA69D8CA}</x14:id>
        </ext>
      </extLst>
    </cfRule>
  </conditionalFormatting>
  <conditionalFormatting sqref="L79:L80">
    <cfRule type="dataBar" priority="581">
      <dataBar showValue="0">
        <cfvo type="min"/>
        <cfvo type="max"/>
        <color rgb="FF63C384"/>
      </dataBar>
      <extLst>
        <ext xmlns:x14="http://schemas.microsoft.com/office/spreadsheetml/2009/9/main" uri="{B025F937-C7B1-47D3-B67F-A62EFF666E3E}">
          <x14:id>{1258B422-5B4F-4689-A016-B7CC44E6DC3E}</x14:id>
        </ext>
      </extLst>
    </cfRule>
  </conditionalFormatting>
  <dataValidations count="1">
    <dataValidation type="list" allowBlank="1" showInputMessage="1" showErrorMessage="1" sqref="K10:M10 G10:I10 C10:E10" xr:uid="{1ADE8F42-7AFA-4922-A6A2-EDD606189B4B}">
      <formula1>$AB$10:$AB$15</formula1>
    </dataValidation>
  </dataValidations>
  <hyperlinks>
    <hyperlink ref="F138" r:id="rId1" xr:uid="{08932BD2-8E40-4FF2-9D34-DBF0BC8DFDA1}"/>
  </hyperlinks>
  <printOptions horizontalCentered="1"/>
  <pageMargins left="0.25" right="0.25" top="0.25" bottom="0.25" header="0" footer="0"/>
  <pageSetup scale="50" orientation="portrait" r:id="rId2"/>
  <drawing r:id="rId3"/>
  <extLst>
    <ext xmlns:x14="http://schemas.microsoft.com/office/spreadsheetml/2009/9/main" uri="{78C0D931-6437-407d-A8EE-F0AAD7539E65}">
      <x14:conditionalFormattings>
        <x14:conditionalFormatting xmlns:xm="http://schemas.microsoft.com/office/excel/2006/main">
          <x14:cfRule type="dataBar" id="{4F918F03-759B-40BA-A88B-680B640ED8F4}">
            <x14:dataBar minLength="0" maxLength="100" border="1" negativeBarBorderColorSameAsPositive="0">
              <x14:cfvo type="autoMin"/>
              <x14:cfvo type="autoMax"/>
              <x14:borderColor rgb="FF63C384"/>
              <x14:negativeFillColor rgb="FFFF0000"/>
              <x14:negativeBorderColor rgb="FFFF0000"/>
              <x14:axisColor rgb="FF000000"/>
            </x14:dataBar>
          </x14:cfRule>
          <xm:sqref>L58:L62</xm:sqref>
        </x14:conditionalFormatting>
        <x14:conditionalFormatting xmlns:xm="http://schemas.microsoft.com/office/excel/2006/main">
          <x14:cfRule type="dataBar" id="{2A1A8D49-D5EF-4887-A5B3-2AB7ABDC1709}">
            <x14:dataBar minLength="0" maxLength="100" border="1" negativeBarBorderColorSameAsPositive="0">
              <x14:cfvo type="autoMin"/>
              <x14:cfvo type="autoMax"/>
              <x14:borderColor rgb="FF63C384"/>
              <x14:negativeFillColor rgb="FFFF0000"/>
              <x14:negativeBorderColor rgb="FFFF0000"/>
              <x14:axisColor rgb="FF000000"/>
            </x14:dataBar>
          </x14:cfRule>
          <xm:sqref>H58:H62</xm:sqref>
        </x14:conditionalFormatting>
        <x14:conditionalFormatting xmlns:xm="http://schemas.microsoft.com/office/excel/2006/main">
          <x14:cfRule type="dataBar" id="{ABF07D87-9307-466F-B423-AD86C2B8D024}">
            <x14:dataBar minLength="0" maxLength="100" border="1" negativeBarBorderColorSameAsPositive="0">
              <x14:cfvo type="autoMin"/>
              <x14:cfvo type="autoMax"/>
              <x14:borderColor rgb="FF63C384"/>
              <x14:negativeFillColor rgb="FFFF0000"/>
              <x14:negativeBorderColor rgb="FFFF0000"/>
              <x14:axisColor rgb="FF000000"/>
            </x14:dataBar>
          </x14:cfRule>
          <xm:sqref>D58:D62</xm:sqref>
        </x14:conditionalFormatting>
        <x14:conditionalFormatting xmlns:xm="http://schemas.microsoft.com/office/excel/2006/main">
          <x14:cfRule type="dataBar" id="{DFFD5CBF-4274-4041-81CA-88DEBFB189B6}">
            <x14:dataBar minLength="0" maxLength="100" border="1" negativeBarBorderColorSameAsPositive="0">
              <x14:cfvo type="autoMin"/>
              <x14:cfvo type="autoMax"/>
              <x14:borderColor rgb="FF63C384"/>
              <x14:negativeFillColor rgb="FFFF0000"/>
              <x14:negativeBorderColor rgb="FFFF0000"/>
              <x14:axisColor rgb="FF000000"/>
            </x14:dataBar>
          </x14:cfRule>
          <xm:sqref>D25:D53</xm:sqref>
        </x14:conditionalFormatting>
        <x14:conditionalFormatting xmlns:xm="http://schemas.microsoft.com/office/excel/2006/main">
          <x14:cfRule type="dataBar" id="{B448E95B-C6F8-453E-A3AE-249FD402675F}">
            <x14:dataBar minLength="0" maxLength="100" border="1" negativeBarBorderColorSameAsPositive="0">
              <x14:cfvo type="autoMin"/>
              <x14:cfvo type="autoMax"/>
              <x14:borderColor rgb="FF63C384"/>
              <x14:negativeFillColor rgb="FFFF0000"/>
              <x14:negativeBorderColor rgb="FFFF0000"/>
              <x14:axisColor rgb="FF000000"/>
            </x14:dataBar>
          </x14:cfRule>
          <xm:sqref>H25:H53</xm:sqref>
        </x14:conditionalFormatting>
        <x14:conditionalFormatting xmlns:xm="http://schemas.microsoft.com/office/excel/2006/main">
          <x14:cfRule type="dataBar" id="{174E35D5-C436-4A14-886C-5B51743A4A33}">
            <x14:dataBar minLength="0" maxLength="100" border="1" negativeBarBorderColorSameAsPositive="0">
              <x14:cfvo type="autoMin"/>
              <x14:cfvo type="autoMax"/>
              <x14:borderColor rgb="FF63C384"/>
              <x14:negativeFillColor rgb="FFFF0000"/>
              <x14:negativeBorderColor rgb="FFFF0000"/>
              <x14:axisColor rgb="FF000000"/>
            </x14:dataBar>
          </x14:cfRule>
          <xm:sqref>L25:L53</xm:sqref>
        </x14:conditionalFormatting>
        <x14:conditionalFormatting xmlns:xm="http://schemas.microsoft.com/office/excel/2006/main">
          <x14:cfRule type="dataBar" id="{08133580-B0A9-4829-94F8-8E3826767F44}">
            <x14:dataBar minLength="0" maxLength="100" border="1" negativeBarBorderColorSameAsPositive="0">
              <x14:cfvo type="autoMin"/>
              <x14:cfvo type="autoMax"/>
              <x14:borderColor rgb="FF63C384"/>
              <x14:negativeFillColor rgb="FFFF0000"/>
              <x14:negativeBorderColor rgb="FFFF0000"/>
              <x14:axisColor rgb="FF000000"/>
            </x14:dataBar>
          </x14:cfRule>
          <xm:sqref>D69:D72</xm:sqref>
        </x14:conditionalFormatting>
        <x14:conditionalFormatting xmlns:xm="http://schemas.microsoft.com/office/excel/2006/main">
          <x14:cfRule type="dataBar" id="{ECAE5CCC-EF50-49AE-93EF-FD70ED20A078}">
            <x14:dataBar minLength="0" maxLength="100" border="1" negativeBarBorderColorSameAsPositive="0">
              <x14:cfvo type="autoMin"/>
              <x14:cfvo type="autoMax"/>
              <x14:borderColor rgb="FF63C384"/>
              <x14:negativeFillColor rgb="FFFF0000"/>
              <x14:negativeBorderColor rgb="FFFF0000"/>
              <x14:axisColor rgb="FF000000"/>
            </x14:dataBar>
          </x14:cfRule>
          <xm:sqref>H69:H72</xm:sqref>
        </x14:conditionalFormatting>
        <x14:conditionalFormatting xmlns:xm="http://schemas.microsoft.com/office/excel/2006/main">
          <x14:cfRule type="dataBar" id="{1B7AB26F-0845-4547-BD62-D24C8DBDA6E0}">
            <x14:dataBar minLength="0" maxLength="100" border="1" negativeBarBorderColorSameAsPositive="0">
              <x14:cfvo type="autoMin"/>
              <x14:cfvo type="autoMax"/>
              <x14:borderColor rgb="FF63C384"/>
              <x14:negativeFillColor rgb="FFFF0000"/>
              <x14:negativeBorderColor rgb="FFFF0000"/>
              <x14:axisColor rgb="FF000000"/>
            </x14:dataBar>
          </x14:cfRule>
          <xm:sqref>L69:L72</xm:sqref>
        </x14:conditionalFormatting>
        <x14:conditionalFormatting xmlns:xm="http://schemas.microsoft.com/office/excel/2006/main">
          <x14:cfRule type="dataBar" id="{9A9F3E77-62BD-4925-AD96-C63EE6A7EA02}">
            <x14:dataBar minLength="0" maxLength="100" border="1" negativeBarBorderColorSameAsPositive="0">
              <x14:cfvo type="autoMin"/>
              <x14:cfvo type="autoMax"/>
              <x14:borderColor rgb="FF63C384"/>
              <x14:negativeFillColor rgb="FFFF0000"/>
              <x14:negativeBorderColor rgb="FFFF0000"/>
              <x14:axisColor rgb="FF000000"/>
            </x14:dataBar>
          </x14:cfRule>
          <xm:sqref>D79:D80</xm:sqref>
        </x14:conditionalFormatting>
        <x14:conditionalFormatting xmlns:xm="http://schemas.microsoft.com/office/excel/2006/main">
          <x14:cfRule type="dataBar" id="{53A66F99-7791-46CD-89E7-7346DA69D8CA}">
            <x14:dataBar minLength="0" maxLength="100" border="1" negativeBarBorderColorSameAsPositive="0">
              <x14:cfvo type="autoMin"/>
              <x14:cfvo type="autoMax"/>
              <x14:borderColor rgb="FF63C384"/>
              <x14:negativeFillColor rgb="FFFF0000"/>
              <x14:negativeBorderColor rgb="FFFF0000"/>
              <x14:axisColor rgb="FF000000"/>
            </x14:dataBar>
          </x14:cfRule>
          <xm:sqref>H79:H80</xm:sqref>
        </x14:conditionalFormatting>
        <x14:conditionalFormatting xmlns:xm="http://schemas.microsoft.com/office/excel/2006/main">
          <x14:cfRule type="dataBar" id="{1258B422-5B4F-4689-A016-B7CC44E6DC3E}">
            <x14:dataBar minLength="0" maxLength="100" border="1" negativeBarBorderColorSameAsPositive="0">
              <x14:cfvo type="autoMin"/>
              <x14:cfvo type="autoMax"/>
              <x14:borderColor rgb="FF63C384"/>
              <x14:negativeFillColor rgb="FFFF0000"/>
              <x14:negativeBorderColor rgb="FFFF0000"/>
              <x14:axisColor rgb="FF000000"/>
            </x14:dataBar>
          </x14:cfRule>
          <xm:sqref>L79:L80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J40"/>
  <sheetViews>
    <sheetView zoomScale="80" zoomScaleNormal="80" workbookViewId="0">
      <selection activeCell="N11" sqref="N11"/>
    </sheetView>
  </sheetViews>
  <sheetFormatPr defaultColWidth="9.140625" defaultRowHeight="15"/>
  <cols>
    <col min="1" max="1" width="24.28515625" style="22" bestFit="1" customWidth="1"/>
    <col min="2" max="2" width="13.42578125" style="22" bestFit="1" customWidth="1"/>
    <col min="3" max="3" width="4.7109375" style="22" customWidth="1"/>
    <col min="4" max="4" width="17" style="22" customWidth="1"/>
    <col min="5" max="5" width="10.5703125" style="23" hidden="1" customWidth="1"/>
    <col min="6" max="6" width="10.5703125" style="23" customWidth="1"/>
    <col min="7" max="7" width="10.5703125" style="22" customWidth="1"/>
    <col min="8" max="8" width="4.7109375" style="22" customWidth="1"/>
    <col min="9" max="9" width="20" style="22" bestFit="1" customWidth="1"/>
    <col min="10" max="10" width="15.42578125" style="23" hidden="1" customWidth="1"/>
    <col min="11" max="11" width="10.5703125" style="23" customWidth="1"/>
    <col min="12" max="12" width="10.5703125" style="22" customWidth="1"/>
    <col min="13" max="13" width="4.7109375" style="22" customWidth="1"/>
    <col min="14" max="14" width="18.140625" style="22" bestFit="1" customWidth="1"/>
    <col min="15" max="15" width="13.5703125" style="24" hidden="1" customWidth="1"/>
    <col min="16" max="16" width="11.85546875" style="24" customWidth="1"/>
    <col min="17" max="17" width="12.42578125" style="24" bestFit="1" customWidth="1"/>
    <col min="18" max="18" width="10.5703125" style="22" customWidth="1"/>
    <col min="19" max="16384" width="9.140625" style="22"/>
  </cols>
  <sheetData>
    <row r="1" spans="1:18" ht="15" customHeight="1">
      <c r="A1" s="878" t="s">
        <v>394</v>
      </c>
      <c r="B1" s="879"/>
      <c r="C1" s="879"/>
      <c r="D1" s="879"/>
      <c r="E1" s="879"/>
      <c r="F1" s="879"/>
      <c r="G1" s="879"/>
      <c r="H1" s="879"/>
      <c r="I1" s="879"/>
      <c r="J1" s="879"/>
      <c r="K1" s="879"/>
      <c r="L1" s="879"/>
      <c r="M1" s="879"/>
      <c r="N1" s="879"/>
      <c r="O1" s="879"/>
      <c r="P1" s="879"/>
      <c r="Q1" s="879"/>
      <c r="R1" s="879"/>
    </row>
    <row r="2" spans="1:18" ht="15.75" customHeight="1">
      <c r="A2" s="878"/>
      <c r="B2" s="879"/>
      <c r="C2" s="879"/>
      <c r="D2" s="879"/>
      <c r="E2" s="879"/>
      <c r="F2" s="879"/>
      <c r="G2" s="879"/>
      <c r="H2" s="879"/>
      <c r="I2" s="879"/>
      <c r="J2" s="879"/>
      <c r="K2" s="879"/>
      <c r="L2" s="879"/>
      <c r="M2" s="879"/>
      <c r="N2" s="879"/>
      <c r="O2" s="879"/>
      <c r="P2" s="879"/>
      <c r="Q2" s="879"/>
      <c r="R2" s="879"/>
    </row>
    <row r="3" spans="1:18" ht="15.75" thickBot="1">
      <c r="A3" s="878"/>
      <c r="B3" s="879"/>
      <c r="C3" s="879"/>
      <c r="D3" s="879"/>
      <c r="E3" s="879"/>
      <c r="F3" s="879"/>
      <c r="G3" s="879"/>
      <c r="H3" s="879"/>
      <c r="I3" s="879"/>
      <c r="J3" s="879"/>
      <c r="K3" s="879"/>
      <c r="L3" s="879"/>
      <c r="M3" s="879"/>
      <c r="N3" s="879"/>
      <c r="O3" s="879"/>
      <c r="P3" s="879"/>
      <c r="Q3" s="879"/>
      <c r="R3" s="879"/>
    </row>
    <row r="4" spans="1:18" ht="34.5" customHeight="1" thickBot="1">
      <c r="A4" s="880" t="s">
        <v>745</v>
      </c>
      <c r="B4" s="881"/>
      <c r="C4" s="335"/>
      <c r="D4" s="336" t="s">
        <v>395</v>
      </c>
      <c r="E4" s="337" t="s">
        <v>12</v>
      </c>
      <c r="F4" s="336" t="s">
        <v>136</v>
      </c>
      <c r="G4" s="335" t="s">
        <v>139</v>
      </c>
      <c r="H4" s="335"/>
      <c r="I4" s="336" t="s">
        <v>396</v>
      </c>
      <c r="J4" s="337" t="s">
        <v>12</v>
      </c>
      <c r="K4" s="336" t="s">
        <v>136</v>
      </c>
      <c r="L4" s="335" t="s">
        <v>139</v>
      </c>
      <c r="M4" s="335"/>
      <c r="N4" s="336" t="s">
        <v>397</v>
      </c>
      <c r="O4" s="337" t="s">
        <v>12</v>
      </c>
      <c r="P4" s="337" t="s">
        <v>435</v>
      </c>
      <c r="Q4" s="336" t="s">
        <v>136</v>
      </c>
      <c r="R4" s="338" t="s">
        <v>139</v>
      </c>
    </row>
    <row r="5" spans="1:18" ht="18.75" customHeight="1">
      <c r="A5" s="35"/>
      <c r="B5" s="36"/>
      <c r="C5" s="36"/>
      <c r="D5" s="46" t="s">
        <v>153</v>
      </c>
      <c r="E5" s="37"/>
      <c r="F5" s="46" t="s">
        <v>153</v>
      </c>
      <c r="G5" s="38"/>
      <c r="H5" s="39"/>
      <c r="I5" s="46" t="s">
        <v>153</v>
      </c>
      <c r="J5" s="37"/>
      <c r="K5" s="46" t="s">
        <v>153</v>
      </c>
      <c r="L5" s="38"/>
      <c r="M5" s="39"/>
      <c r="N5" s="46" t="s">
        <v>153</v>
      </c>
      <c r="O5" s="334"/>
      <c r="P5" s="46" t="s">
        <v>153</v>
      </c>
      <c r="Q5" s="46" t="s">
        <v>153</v>
      </c>
      <c r="R5" s="329"/>
    </row>
    <row r="6" spans="1:18" ht="18.75" customHeight="1">
      <c r="A6" s="35" t="s">
        <v>398</v>
      </c>
      <c r="B6" s="36"/>
      <c r="C6" s="36"/>
      <c r="D6" s="442">
        <v>284.23</v>
      </c>
      <c r="E6" s="443">
        <v>80000</v>
      </c>
      <c r="F6" s="444">
        <v>28000</v>
      </c>
      <c r="G6" s="40">
        <f>F6/E6*D6</f>
        <v>99.480500000000006</v>
      </c>
      <c r="H6" s="39"/>
      <c r="I6" s="442">
        <v>62.86</v>
      </c>
      <c r="J6" s="445">
        <v>140000</v>
      </c>
      <c r="K6" s="444">
        <v>130000</v>
      </c>
      <c r="L6" s="40">
        <f>K6/J6*I6</f>
        <v>58.370000000000005</v>
      </c>
      <c r="M6" s="39"/>
      <c r="N6" s="442">
        <v>15.19</v>
      </c>
      <c r="O6" s="445">
        <v>50</v>
      </c>
      <c r="P6" s="444">
        <v>15000</v>
      </c>
      <c r="Q6" s="446">
        <v>1600000</v>
      </c>
      <c r="R6" s="41">
        <f>((Q6/P6)/O6)*N6</f>
        <v>32.405333333333331</v>
      </c>
    </row>
    <row r="7" spans="1:18" ht="18.75" customHeight="1" thickBot="1">
      <c r="A7" s="42"/>
      <c r="B7" s="36"/>
      <c r="C7" s="36"/>
      <c r="D7" s="43"/>
      <c r="E7" s="37"/>
      <c r="F7" s="37"/>
      <c r="G7" s="38"/>
      <c r="H7" s="39"/>
      <c r="I7" s="43"/>
      <c r="J7" s="37"/>
      <c r="K7" s="37"/>
      <c r="L7" s="38"/>
      <c r="M7" s="39"/>
      <c r="N7" s="43"/>
      <c r="O7" s="37"/>
      <c r="P7" s="44"/>
      <c r="Q7" s="44"/>
      <c r="R7" s="45"/>
    </row>
    <row r="8" spans="1:18" ht="18.75" customHeight="1" thickBot="1">
      <c r="A8" s="330" t="s">
        <v>739</v>
      </c>
      <c r="B8" s="331" t="s">
        <v>83</v>
      </c>
      <c r="C8" s="331"/>
      <c r="D8" s="331" t="s">
        <v>490</v>
      </c>
      <c r="E8" s="332" t="s">
        <v>303</v>
      </c>
      <c r="F8" s="332"/>
      <c r="G8" s="331" t="s">
        <v>139</v>
      </c>
      <c r="H8" s="331"/>
      <c r="I8" s="331" t="s">
        <v>491</v>
      </c>
      <c r="J8" s="332" t="s">
        <v>304</v>
      </c>
      <c r="K8" s="332"/>
      <c r="L8" s="331" t="s">
        <v>139</v>
      </c>
      <c r="M8" s="331"/>
      <c r="N8" s="331" t="s">
        <v>492</v>
      </c>
      <c r="O8" s="332" t="s">
        <v>305</v>
      </c>
      <c r="P8" s="875"/>
      <c r="Q8" s="875"/>
      <c r="R8" s="333" t="s">
        <v>139</v>
      </c>
    </row>
    <row r="9" spans="1:18" ht="18.75" customHeight="1">
      <c r="A9" s="35"/>
      <c r="B9" s="36"/>
      <c r="C9" s="36"/>
      <c r="D9" s="282" t="s">
        <v>153</v>
      </c>
      <c r="E9" s="280"/>
      <c r="F9" s="37"/>
      <c r="G9" s="38"/>
      <c r="H9" s="283"/>
      <c r="I9" s="282" t="s">
        <v>153</v>
      </c>
      <c r="J9" s="280"/>
      <c r="K9" s="37"/>
      <c r="L9" s="38"/>
      <c r="M9" s="283"/>
      <c r="N9" s="282" t="s">
        <v>153</v>
      </c>
      <c r="O9" s="328"/>
      <c r="P9" s="876"/>
      <c r="Q9" s="877"/>
      <c r="R9" s="329"/>
    </row>
    <row r="10" spans="1:18" ht="18.75" customHeight="1">
      <c r="A10" s="35" t="s">
        <v>103</v>
      </c>
      <c r="B10" s="36" t="s">
        <v>94</v>
      </c>
      <c r="C10" s="36"/>
      <c r="D10" s="447">
        <v>1213</v>
      </c>
      <c r="E10" s="183">
        <f>'Crop Budget (Main)'!$C$15</f>
        <v>100</v>
      </c>
      <c r="F10" s="37"/>
      <c r="G10" s="38">
        <f>D10/E10</f>
        <v>12.13</v>
      </c>
      <c r="H10" s="283"/>
      <c r="I10" s="447">
        <v>1229</v>
      </c>
      <c r="J10" s="183">
        <f>'Crop Budget (Main)'!$G$15</f>
        <v>100</v>
      </c>
      <c r="K10" s="37"/>
      <c r="L10" s="38">
        <f>I10/J10</f>
        <v>12.29</v>
      </c>
      <c r="M10" s="283"/>
      <c r="N10" s="447">
        <v>1380</v>
      </c>
      <c r="O10" s="183">
        <f>'Crop Budget (Main)'!$K$15</f>
        <v>100</v>
      </c>
      <c r="P10" s="873"/>
      <c r="Q10" s="874"/>
      <c r="R10" s="45">
        <f>N10/O10</f>
        <v>13.8</v>
      </c>
    </row>
    <row r="11" spans="1:18" ht="18.75" customHeight="1">
      <c r="A11" s="35" t="s">
        <v>429</v>
      </c>
      <c r="B11" s="36" t="s">
        <v>94</v>
      </c>
      <c r="C11" s="36"/>
      <c r="D11" s="447">
        <v>392</v>
      </c>
      <c r="E11" s="183">
        <f>'Crop Budget (Main)'!$C$15</f>
        <v>100</v>
      </c>
      <c r="F11" s="37"/>
      <c r="G11" s="38">
        <f t="shared" ref="G11:G31" si="0">D11/E11</f>
        <v>3.92</v>
      </c>
      <c r="H11" s="283"/>
      <c r="I11" s="447">
        <v>307</v>
      </c>
      <c r="J11" s="183">
        <f>'Crop Budget (Main)'!$G$15</f>
        <v>100</v>
      </c>
      <c r="K11" s="37"/>
      <c r="L11" s="38">
        <f t="shared" ref="L11:L31" si="1">I11/J11</f>
        <v>3.07</v>
      </c>
      <c r="M11" s="283"/>
      <c r="N11" s="447"/>
      <c r="O11" s="183">
        <f>'Crop Budget (Main)'!$K$15</f>
        <v>100</v>
      </c>
      <c r="P11" s="873"/>
      <c r="Q11" s="874"/>
      <c r="R11" s="45">
        <f t="shared" ref="R11:R31" si="2">N11/O11</f>
        <v>0</v>
      </c>
    </row>
    <row r="12" spans="1:18" ht="18.75" customHeight="1">
      <c r="A12" s="35" t="s">
        <v>109</v>
      </c>
      <c r="B12" s="36" t="s">
        <v>94</v>
      </c>
      <c r="C12" s="36"/>
      <c r="D12" s="447">
        <v>0</v>
      </c>
      <c r="E12" s="183">
        <f>'Crop Budget (Main)'!$C$15</f>
        <v>100</v>
      </c>
      <c r="F12" s="37"/>
      <c r="G12" s="38">
        <f t="shared" si="0"/>
        <v>0</v>
      </c>
      <c r="H12" s="283"/>
      <c r="I12" s="447">
        <v>0</v>
      </c>
      <c r="J12" s="183">
        <f>'Crop Budget (Main)'!$G$15</f>
        <v>100</v>
      </c>
      <c r="K12" s="37"/>
      <c r="L12" s="38">
        <f t="shared" si="1"/>
        <v>0</v>
      </c>
      <c r="M12" s="283"/>
      <c r="N12" s="447">
        <v>0</v>
      </c>
      <c r="O12" s="183">
        <f>'Crop Budget (Main)'!$K$15</f>
        <v>100</v>
      </c>
      <c r="P12" s="873"/>
      <c r="Q12" s="874"/>
      <c r="R12" s="45">
        <f t="shared" si="2"/>
        <v>0</v>
      </c>
    </row>
    <row r="13" spans="1:18" ht="15.75">
      <c r="A13" s="35" t="s">
        <v>105</v>
      </c>
      <c r="B13" s="36"/>
      <c r="C13" s="36"/>
      <c r="D13" s="439"/>
      <c r="E13" s="183"/>
      <c r="F13" s="37"/>
      <c r="G13" s="38"/>
      <c r="H13" s="283"/>
      <c r="I13" s="439"/>
      <c r="J13" s="183"/>
      <c r="K13" s="37"/>
      <c r="L13" s="38"/>
      <c r="M13" s="283"/>
      <c r="N13" s="439"/>
      <c r="O13" s="183"/>
      <c r="P13" s="873"/>
      <c r="Q13" s="874"/>
      <c r="R13" s="45"/>
    </row>
    <row r="14" spans="1:18" ht="15.75">
      <c r="A14" s="47" t="s">
        <v>106</v>
      </c>
      <c r="B14" s="36" t="s">
        <v>94</v>
      </c>
      <c r="C14" s="36"/>
      <c r="D14" s="447">
        <v>3125</v>
      </c>
      <c r="E14" s="183">
        <f>'Crop Budget (Main)'!$C$15</f>
        <v>100</v>
      </c>
      <c r="F14" s="37"/>
      <c r="G14" s="38">
        <f t="shared" si="0"/>
        <v>31.25</v>
      </c>
      <c r="H14" s="283"/>
      <c r="I14" s="447">
        <v>1781</v>
      </c>
      <c r="J14" s="183">
        <f>'Crop Budget (Main)'!$G$15</f>
        <v>100</v>
      </c>
      <c r="K14" s="37"/>
      <c r="L14" s="38">
        <f t="shared" si="1"/>
        <v>17.809999999999999</v>
      </c>
      <c r="M14" s="283"/>
      <c r="N14" s="447">
        <v>1643</v>
      </c>
      <c r="O14" s="183">
        <f>'Crop Budget (Main)'!$K$15</f>
        <v>100</v>
      </c>
      <c r="P14" s="873"/>
      <c r="Q14" s="874"/>
      <c r="R14" s="45">
        <f t="shared" si="2"/>
        <v>16.43</v>
      </c>
    </row>
    <row r="15" spans="1:18" ht="15.75">
      <c r="A15" s="47" t="s">
        <v>107</v>
      </c>
      <c r="B15" s="36" t="s">
        <v>94</v>
      </c>
      <c r="C15" s="36"/>
      <c r="D15" s="447">
        <v>1766</v>
      </c>
      <c r="E15" s="183">
        <f>'Crop Budget (Main)'!$C$15</f>
        <v>100</v>
      </c>
      <c r="F15" s="37"/>
      <c r="G15" s="38">
        <f t="shared" si="0"/>
        <v>17.66</v>
      </c>
      <c r="H15" s="283"/>
      <c r="I15" s="447">
        <v>153</v>
      </c>
      <c r="J15" s="183">
        <f>'Crop Budget (Main)'!$G$15</f>
        <v>100</v>
      </c>
      <c r="K15" s="37"/>
      <c r="L15" s="38">
        <f t="shared" si="1"/>
        <v>1.53</v>
      </c>
      <c r="M15" s="283"/>
      <c r="N15" s="447">
        <v>102</v>
      </c>
      <c r="O15" s="183">
        <f>'Crop Budget (Main)'!$K$15</f>
        <v>100</v>
      </c>
      <c r="P15" s="873"/>
      <c r="Q15" s="874"/>
      <c r="R15" s="45">
        <f t="shared" si="2"/>
        <v>1.02</v>
      </c>
    </row>
    <row r="16" spans="1:18" ht="15.75">
      <c r="A16" s="35" t="s">
        <v>108</v>
      </c>
      <c r="D16" s="439"/>
      <c r="E16" s="183"/>
      <c r="F16" s="37"/>
      <c r="G16" s="38"/>
      <c r="H16" s="283"/>
      <c r="I16" s="439"/>
      <c r="J16" s="183"/>
      <c r="K16" s="37"/>
      <c r="L16" s="38"/>
      <c r="M16" s="283"/>
      <c r="N16" s="439"/>
      <c r="O16" s="183"/>
      <c r="P16" s="873"/>
      <c r="Q16" s="874"/>
      <c r="R16" s="45"/>
    </row>
    <row r="17" spans="1:18" ht="18.75" customHeight="1">
      <c r="A17" s="170" t="s">
        <v>430</v>
      </c>
      <c r="B17" s="36" t="s">
        <v>94</v>
      </c>
      <c r="C17" s="36"/>
      <c r="D17" s="447">
        <v>6377</v>
      </c>
      <c r="E17" s="183">
        <f>'Crop Budget (Main)'!$C$15</f>
        <v>100</v>
      </c>
      <c r="F17" s="37"/>
      <c r="G17" s="38">
        <f t="shared" si="0"/>
        <v>63.77</v>
      </c>
      <c r="H17" s="283"/>
      <c r="I17" s="447">
        <v>3245</v>
      </c>
      <c r="J17" s="183">
        <f>'Crop Budget (Main)'!$G$15</f>
        <v>100</v>
      </c>
      <c r="K17" s="37"/>
      <c r="L17" s="38">
        <f t="shared" si="1"/>
        <v>32.450000000000003</v>
      </c>
      <c r="M17" s="283"/>
      <c r="N17" s="447">
        <v>2691</v>
      </c>
      <c r="O17" s="183">
        <f>'Crop Budget (Main)'!$K$15</f>
        <v>100</v>
      </c>
      <c r="P17" s="873"/>
      <c r="Q17" s="874"/>
      <c r="R17" s="45">
        <f t="shared" si="2"/>
        <v>26.91</v>
      </c>
    </row>
    <row r="18" spans="1:18" ht="18.75" customHeight="1">
      <c r="A18" s="170" t="s">
        <v>431</v>
      </c>
      <c r="B18" s="36" t="s">
        <v>94</v>
      </c>
      <c r="D18" s="447">
        <v>107</v>
      </c>
      <c r="E18" s="183">
        <f>'Crop Budget (Main)'!$C$15</f>
        <v>100</v>
      </c>
      <c r="F18" s="37"/>
      <c r="G18" s="38">
        <f t="shared" si="0"/>
        <v>1.07</v>
      </c>
      <c r="H18" s="283"/>
      <c r="I18" s="447">
        <v>0</v>
      </c>
      <c r="J18" s="183">
        <f>'Crop Budget (Main)'!$G$15</f>
        <v>100</v>
      </c>
      <c r="K18" s="37"/>
      <c r="L18" s="38">
        <f t="shared" si="1"/>
        <v>0</v>
      </c>
      <c r="M18" s="283"/>
      <c r="N18" s="447">
        <v>0</v>
      </c>
      <c r="O18" s="183">
        <f>'Crop Budget (Main)'!$K$15</f>
        <v>100</v>
      </c>
      <c r="P18" s="873"/>
      <c r="Q18" s="874"/>
      <c r="R18" s="45">
        <f t="shared" si="2"/>
        <v>0</v>
      </c>
    </row>
    <row r="19" spans="1:18" ht="18.75" customHeight="1">
      <c r="A19" s="35" t="s">
        <v>100</v>
      </c>
      <c r="B19" s="36"/>
      <c r="C19" s="36"/>
      <c r="D19" s="439"/>
      <c r="E19" s="183"/>
      <c r="F19" s="37"/>
      <c r="G19" s="38"/>
      <c r="H19" s="283"/>
      <c r="I19" s="439"/>
      <c r="J19" s="183"/>
      <c r="K19" s="37"/>
      <c r="L19" s="38"/>
      <c r="M19" s="283"/>
      <c r="N19" s="439"/>
      <c r="O19" s="183"/>
      <c r="P19" s="873"/>
      <c r="Q19" s="874"/>
      <c r="R19" s="45"/>
    </row>
    <row r="20" spans="1:18" ht="18.75" customHeight="1">
      <c r="A20" s="47" t="s">
        <v>101</v>
      </c>
      <c r="B20" s="36" t="s">
        <v>94</v>
      </c>
      <c r="C20" s="36"/>
      <c r="D20" s="447">
        <v>1082</v>
      </c>
      <c r="E20" s="183">
        <f>'Crop Budget (Main)'!$C$15</f>
        <v>100</v>
      </c>
      <c r="F20" s="37"/>
      <c r="G20" s="38">
        <f t="shared" si="0"/>
        <v>10.82</v>
      </c>
      <c r="H20" s="283"/>
      <c r="I20" s="447">
        <v>585</v>
      </c>
      <c r="J20" s="183">
        <f>'Crop Budget (Main)'!$G$15</f>
        <v>100</v>
      </c>
      <c r="K20" s="37"/>
      <c r="L20" s="38">
        <f t="shared" si="1"/>
        <v>5.85</v>
      </c>
      <c r="M20" s="283"/>
      <c r="N20" s="447">
        <v>1583</v>
      </c>
      <c r="O20" s="183">
        <f>'Crop Budget (Main)'!$K$15</f>
        <v>100</v>
      </c>
      <c r="P20" s="873"/>
      <c r="Q20" s="874"/>
      <c r="R20" s="45">
        <f t="shared" si="2"/>
        <v>15.83</v>
      </c>
    </row>
    <row r="21" spans="1:18" ht="18.75" customHeight="1">
      <c r="A21" s="47" t="s">
        <v>102</v>
      </c>
      <c r="B21" s="36" t="s">
        <v>94</v>
      </c>
      <c r="C21" s="36"/>
      <c r="D21" s="447">
        <v>588</v>
      </c>
      <c r="E21" s="183">
        <f>'Crop Budget (Main)'!$C$15</f>
        <v>100</v>
      </c>
      <c r="F21" s="37"/>
      <c r="G21" s="38">
        <f t="shared" si="0"/>
        <v>5.88</v>
      </c>
      <c r="H21" s="283"/>
      <c r="I21" s="447">
        <v>584</v>
      </c>
      <c r="J21" s="183">
        <f>'Crop Budget (Main)'!$G$15</f>
        <v>100</v>
      </c>
      <c r="K21" s="37"/>
      <c r="L21" s="38">
        <f t="shared" si="1"/>
        <v>5.84</v>
      </c>
      <c r="M21" s="283"/>
      <c r="N21" s="447">
        <v>90</v>
      </c>
      <c r="O21" s="183">
        <f>'Crop Budget (Main)'!$K$15</f>
        <v>100</v>
      </c>
      <c r="P21" s="873"/>
      <c r="Q21" s="874"/>
      <c r="R21" s="45">
        <f t="shared" si="2"/>
        <v>0.9</v>
      </c>
    </row>
    <row r="22" spans="1:18" ht="18.75" customHeight="1">
      <c r="A22" s="47" t="s">
        <v>302</v>
      </c>
      <c r="B22" s="36" t="s">
        <v>94</v>
      </c>
      <c r="C22" s="36"/>
      <c r="D22" s="447">
        <v>0</v>
      </c>
      <c r="E22" s="183">
        <f>'Crop Budget (Main)'!$C$15</f>
        <v>100</v>
      </c>
      <c r="F22" s="37"/>
      <c r="G22" s="38">
        <f t="shared" si="0"/>
        <v>0</v>
      </c>
      <c r="H22" s="283"/>
      <c r="I22" s="447">
        <v>0</v>
      </c>
      <c r="J22" s="183">
        <f>'Crop Budget (Main)'!$G$15</f>
        <v>100</v>
      </c>
      <c r="K22" s="37"/>
      <c r="L22" s="38">
        <f t="shared" si="1"/>
        <v>0</v>
      </c>
      <c r="M22" s="283"/>
      <c r="N22" s="447">
        <v>0</v>
      </c>
      <c r="O22" s="183">
        <f>'Crop Budget (Main)'!$K$15</f>
        <v>100</v>
      </c>
      <c r="P22" s="873"/>
      <c r="Q22" s="874"/>
      <c r="R22" s="45">
        <f t="shared" si="2"/>
        <v>0</v>
      </c>
    </row>
    <row r="23" spans="1:18" ht="18.75" customHeight="1">
      <c r="A23" s="35" t="s">
        <v>104</v>
      </c>
      <c r="B23" s="36" t="s">
        <v>94</v>
      </c>
      <c r="C23" s="36"/>
      <c r="D23" s="447">
        <v>271</v>
      </c>
      <c r="E23" s="797">
        <f>'Crop Budget (Main)'!$C$15</f>
        <v>100</v>
      </c>
      <c r="F23" s="37"/>
      <c r="G23" s="38">
        <f>D23/E23</f>
        <v>2.71</v>
      </c>
      <c r="H23" s="283"/>
      <c r="I23" s="447">
        <v>88</v>
      </c>
      <c r="J23" s="797">
        <f>'Crop Budget (Main)'!$G$15</f>
        <v>100</v>
      </c>
      <c r="K23" s="37"/>
      <c r="L23" s="38">
        <f t="shared" si="1"/>
        <v>0.88</v>
      </c>
      <c r="M23" s="283"/>
      <c r="N23" s="447">
        <v>365</v>
      </c>
      <c r="O23" s="797">
        <f>'Crop Budget (Main)'!$K$15</f>
        <v>100</v>
      </c>
      <c r="P23" s="873"/>
      <c r="Q23" s="874"/>
      <c r="R23" s="45">
        <f t="shared" si="2"/>
        <v>3.65</v>
      </c>
    </row>
    <row r="24" spans="1:18" ht="18.75" customHeight="1">
      <c r="A24" s="35" t="s">
        <v>110</v>
      </c>
      <c r="B24" s="36" t="s">
        <v>94</v>
      </c>
      <c r="C24" s="36"/>
      <c r="D24" s="447">
        <v>208</v>
      </c>
      <c r="E24" s="797">
        <f>'Crop Budget (Main)'!$C$15</f>
        <v>100</v>
      </c>
      <c r="F24" s="37"/>
      <c r="G24" s="38">
        <f t="shared" si="0"/>
        <v>2.08</v>
      </c>
      <c r="H24" s="283"/>
      <c r="I24" s="447">
        <v>50</v>
      </c>
      <c r="J24" s="797">
        <f>'Crop Budget (Main)'!$G$15</f>
        <v>100</v>
      </c>
      <c r="K24" s="37"/>
      <c r="L24" s="38">
        <f t="shared" si="1"/>
        <v>0.5</v>
      </c>
      <c r="M24" s="283"/>
      <c r="N24" s="447">
        <v>90</v>
      </c>
      <c r="O24" s="797">
        <f>'Crop Budget (Main)'!$K$15</f>
        <v>100</v>
      </c>
      <c r="P24" s="873"/>
      <c r="Q24" s="874"/>
      <c r="R24" s="45">
        <f t="shared" si="2"/>
        <v>0.9</v>
      </c>
    </row>
    <row r="25" spans="1:18" ht="18.75" customHeight="1">
      <c r="A25" s="35" t="s">
        <v>111</v>
      </c>
      <c r="B25" s="36" t="s">
        <v>94</v>
      </c>
      <c r="C25" s="36"/>
      <c r="D25" s="447">
        <v>1626</v>
      </c>
      <c r="E25" s="183">
        <f>'Crop Budget (Main)'!$C$15</f>
        <v>100</v>
      </c>
      <c r="F25" s="37"/>
      <c r="G25" s="38">
        <f t="shared" si="0"/>
        <v>16.260000000000002</v>
      </c>
      <c r="H25" s="283"/>
      <c r="I25" s="447">
        <v>1038</v>
      </c>
      <c r="J25" s="183">
        <f>'Crop Budget (Main)'!$G$15</f>
        <v>100</v>
      </c>
      <c r="K25" s="37"/>
      <c r="L25" s="38">
        <f t="shared" si="1"/>
        <v>10.38</v>
      </c>
      <c r="M25" s="283"/>
      <c r="N25" s="447">
        <v>830</v>
      </c>
      <c r="O25" s="183">
        <f>'Crop Budget (Main)'!$K$15</f>
        <v>100</v>
      </c>
      <c r="P25" s="873"/>
      <c r="Q25" s="874"/>
      <c r="R25" s="45">
        <f t="shared" si="2"/>
        <v>8.3000000000000007</v>
      </c>
    </row>
    <row r="26" spans="1:18" ht="18.75" customHeight="1">
      <c r="A26" s="35" t="s">
        <v>112</v>
      </c>
      <c r="B26" s="36"/>
      <c r="C26" s="36"/>
      <c r="D26" s="439"/>
      <c r="E26" s="183"/>
      <c r="F26" s="37"/>
      <c r="G26" s="38"/>
      <c r="H26" s="283"/>
      <c r="I26" s="439"/>
      <c r="J26" s="183"/>
      <c r="K26" s="37"/>
      <c r="L26" s="38"/>
      <c r="M26" s="283"/>
      <c r="N26" s="439"/>
      <c r="O26" s="183"/>
      <c r="P26" s="873"/>
      <c r="Q26" s="874"/>
      <c r="R26" s="45"/>
    </row>
    <row r="27" spans="1:18" ht="18.75" customHeight="1">
      <c r="A27" s="47" t="s">
        <v>132</v>
      </c>
      <c r="B27" s="36" t="s">
        <v>94</v>
      </c>
      <c r="C27" s="36"/>
      <c r="D27" s="447">
        <v>0</v>
      </c>
      <c r="E27" s="183">
        <f>'Crop Budget (Main)'!$C$15</f>
        <v>100</v>
      </c>
      <c r="F27" s="37"/>
      <c r="G27" s="38">
        <f t="shared" si="0"/>
        <v>0</v>
      </c>
      <c r="H27" s="283"/>
      <c r="I27" s="447">
        <v>0</v>
      </c>
      <c r="J27" s="183">
        <f>'Crop Budget (Main)'!$G$15</f>
        <v>100</v>
      </c>
      <c r="K27" s="37"/>
      <c r="L27" s="38">
        <f t="shared" si="1"/>
        <v>0</v>
      </c>
      <c r="M27" s="283"/>
      <c r="N27" s="447">
        <v>0</v>
      </c>
      <c r="O27" s="183">
        <f>'Crop Budget (Main)'!$K$15</f>
        <v>100</v>
      </c>
      <c r="P27" s="873"/>
      <c r="Q27" s="874"/>
      <c r="R27" s="45">
        <f t="shared" si="2"/>
        <v>0</v>
      </c>
    </row>
    <row r="28" spans="1:18" ht="18.75" customHeight="1">
      <c r="A28" s="47" t="s">
        <v>133</v>
      </c>
      <c r="B28" s="36" t="s">
        <v>94</v>
      </c>
      <c r="C28" s="36"/>
      <c r="D28" s="447">
        <v>0</v>
      </c>
      <c r="E28" s="183">
        <f>'Crop Budget (Main)'!$C$15</f>
        <v>100</v>
      </c>
      <c r="F28" s="37"/>
      <c r="G28" s="38">
        <f t="shared" si="0"/>
        <v>0</v>
      </c>
      <c r="H28" s="283"/>
      <c r="I28" s="447">
        <v>0</v>
      </c>
      <c r="J28" s="183">
        <f>'Crop Budget (Main)'!$G$15</f>
        <v>100</v>
      </c>
      <c r="K28" s="37"/>
      <c r="L28" s="38">
        <f t="shared" si="1"/>
        <v>0</v>
      </c>
      <c r="M28" s="283"/>
      <c r="N28" s="447">
        <v>0</v>
      </c>
      <c r="O28" s="183">
        <f>'Crop Budget (Main)'!$K$15</f>
        <v>100</v>
      </c>
      <c r="P28" s="873"/>
      <c r="Q28" s="874"/>
      <c r="R28" s="45">
        <f t="shared" si="2"/>
        <v>0</v>
      </c>
    </row>
    <row r="29" spans="1:18" ht="18.75" customHeight="1">
      <c r="A29" s="35" t="s">
        <v>597</v>
      </c>
      <c r="B29" s="36" t="s">
        <v>94</v>
      </c>
      <c r="C29" s="36"/>
      <c r="D29" s="447">
        <v>0</v>
      </c>
      <c r="E29" s="183">
        <f>'Crop Budget (Main)'!$C$15</f>
        <v>100</v>
      </c>
      <c r="F29" s="37"/>
      <c r="G29" s="38">
        <f t="shared" si="0"/>
        <v>0</v>
      </c>
      <c r="H29" s="283"/>
      <c r="I29" s="447">
        <v>178</v>
      </c>
      <c r="J29" s="183">
        <f>'Crop Budget (Main)'!$G$15</f>
        <v>100</v>
      </c>
      <c r="K29" s="37"/>
      <c r="L29" s="38">
        <f t="shared" si="1"/>
        <v>1.78</v>
      </c>
      <c r="M29" s="283"/>
      <c r="N29" s="447">
        <v>235</v>
      </c>
      <c r="O29" s="183">
        <f>'Crop Budget (Main)'!$K$15</f>
        <v>100</v>
      </c>
      <c r="P29" s="873"/>
      <c r="Q29" s="874"/>
      <c r="R29" s="45">
        <f t="shared" si="2"/>
        <v>2.35</v>
      </c>
    </row>
    <row r="30" spans="1:18" ht="18.75" customHeight="1">
      <c r="A30" s="35" t="s">
        <v>595</v>
      </c>
      <c r="B30" s="36" t="s">
        <v>399</v>
      </c>
      <c r="C30" s="36"/>
      <c r="D30" s="447">
        <v>3164</v>
      </c>
      <c r="E30" s="363">
        <f>'Crop Budget (Main)'!$C$15</f>
        <v>100</v>
      </c>
      <c r="F30" s="37"/>
      <c r="G30" s="38">
        <f t="shared" si="0"/>
        <v>31.64</v>
      </c>
      <c r="H30" s="283"/>
      <c r="I30" s="447">
        <v>2027</v>
      </c>
      <c r="J30" s="363">
        <f>'Crop Budget (Main)'!$G$15</f>
        <v>100</v>
      </c>
      <c r="K30" s="37"/>
      <c r="L30" s="38">
        <f t="shared" si="1"/>
        <v>20.27</v>
      </c>
      <c r="M30" s="283"/>
      <c r="N30" s="447">
        <v>2241</v>
      </c>
      <c r="O30" s="363">
        <f>'Crop Budget (Main)'!$K$15</f>
        <v>100</v>
      </c>
      <c r="P30" s="873"/>
      <c r="Q30" s="874"/>
      <c r="R30" s="45">
        <f t="shared" si="2"/>
        <v>22.41</v>
      </c>
    </row>
    <row r="31" spans="1:18" ht="18.75" customHeight="1">
      <c r="A31" s="35" t="s">
        <v>596</v>
      </c>
      <c r="B31" s="36" t="s">
        <v>94</v>
      </c>
      <c r="C31" s="36"/>
      <c r="D31" s="447">
        <v>0</v>
      </c>
      <c r="E31" s="363">
        <f>'Crop Budget (Main)'!$C$15</f>
        <v>100</v>
      </c>
      <c r="F31" s="37"/>
      <c r="G31" s="38">
        <f t="shared" si="0"/>
        <v>0</v>
      </c>
      <c r="H31" s="283"/>
      <c r="I31" s="447">
        <v>0</v>
      </c>
      <c r="J31" s="363">
        <f>'Crop Budget (Main)'!$G$15</f>
        <v>100</v>
      </c>
      <c r="K31" s="37"/>
      <c r="L31" s="38">
        <f t="shared" si="1"/>
        <v>0</v>
      </c>
      <c r="M31" s="283"/>
      <c r="N31" s="447">
        <v>0</v>
      </c>
      <c r="O31" s="363">
        <f>'Crop Budget (Main)'!$K$15</f>
        <v>100</v>
      </c>
      <c r="P31" s="873"/>
      <c r="Q31" s="874"/>
      <c r="R31" s="45">
        <f t="shared" si="2"/>
        <v>0</v>
      </c>
    </row>
    <row r="32" spans="1:18" ht="18.75" customHeight="1" thickBot="1">
      <c r="A32" s="35"/>
      <c r="B32" s="36"/>
      <c r="C32" s="36"/>
      <c r="D32" s="281"/>
      <c r="E32" s="173"/>
      <c r="F32" s="174"/>
      <c r="G32" s="38"/>
      <c r="H32" s="94"/>
      <c r="I32" s="281"/>
      <c r="J32" s="173"/>
      <c r="K32" s="174"/>
      <c r="L32" s="38"/>
      <c r="M32" s="94"/>
      <c r="N32" s="281"/>
      <c r="O32" s="173"/>
      <c r="P32" s="873"/>
      <c r="Q32" s="874"/>
      <c r="R32" s="45"/>
    </row>
    <row r="33" spans="1:36" ht="18.75" customHeight="1" thickBot="1">
      <c r="A33" s="330" t="s">
        <v>744</v>
      </c>
      <c r="B33" s="365" t="s">
        <v>83</v>
      </c>
      <c r="C33" s="331"/>
      <c r="D33" s="339" t="s">
        <v>311</v>
      </c>
      <c r="E33" s="332" t="s">
        <v>303</v>
      </c>
      <c r="F33" s="332"/>
      <c r="G33" s="365" t="s">
        <v>139</v>
      </c>
      <c r="H33" s="331"/>
      <c r="I33" s="339" t="s">
        <v>312</v>
      </c>
      <c r="J33" s="332" t="s">
        <v>304</v>
      </c>
      <c r="K33" s="332"/>
      <c r="L33" s="365" t="s">
        <v>139</v>
      </c>
      <c r="M33" s="331"/>
      <c r="N33" s="339" t="s">
        <v>313</v>
      </c>
      <c r="O33" s="332" t="s">
        <v>305</v>
      </c>
      <c r="P33" s="875"/>
      <c r="Q33" s="875"/>
      <c r="R33" s="366" t="s">
        <v>139</v>
      </c>
    </row>
    <row r="34" spans="1:36" ht="18.75" customHeight="1">
      <c r="A34" s="35"/>
      <c r="B34" s="36"/>
      <c r="C34" s="36"/>
      <c r="D34" s="282" t="s">
        <v>153</v>
      </c>
      <c r="E34" s="280"/>
      <c r="F34" s="37"/>
      <c r="G34" s="38"/>
      <c r="H34" s="283"/>
      <c r="I34" s="282" t="s">
        <v>153</v>
      </c>
      <c r="J34" s="280"/>
      <c r="K34" s="37"/>
      <c r="L34" s="38"/>
      <c r="M34" s="283"/>
      <c r="N34" s="282" t="s">
        <v>153</v>
      </c>
      <c r="O34" s="328"/>
      <c r="P34" s="876"/>
      <c r="Q34" s="877"/>
      <c r="R34" s="329"/>
      <c r="S34" s="126"/>
      <c r="T34" s="171"/>
      <c r="U34" s="171"/>
      <c r="V34" s="171"/>
      <c r="W34" s="128"/>
      <c r="X34" s="128"/>
      <c r="Y34" s="171"/>
      <c r="Z34" s="171"/>
      <c r="AA34" s="171"/>
      <c r="AB34" s="128"/>
      <c r="AC34" s="128"/>
      <c r="AD34" s="171"/>
      <c r="AE34" s="171"/>
      <c r="AF34" s="171"/>
      <c r="AG34" s="128"/>
      <c r="AH34" s="128"/>
      <c r="AI34" s="128"/>
      <c r="AJ34" s="172"/>
    </row>
    <row r="35" spans="1:36" ht="18.75" customHeight="1">
      <c r="A35" s="35" t="s">
        <v>432</v>
      </c>
      <c r="B35" s="36" t="s">
        <v>94</v>
      </c>
      <c r="C35" s="36"/>
      <c r="D35" s="447">
        <v>1295</v>
      </c>
      <c r="E35" s="183">
        <f>'Crop Budget (Main)'!$C$15</f>
        <v>100</v>
      </c>
      <c r="F35" s="37"/>
      <c r="G35" s="38">
        <f t="shared" ref="G35:G36" si="3">D35/E35</f>
        <v>12.95</v>
      </c>
      <c r="H35" s="283"/>
      <c r="I35" s="447">
        <v>1020</v>
      </c>
      <c r="J35" s="183">
        <f>'Crop Budget (Main)'!$G$15</f>
        <v>100</v>
      </c>
      <c r="K35" s="37"/>
      <c r="L35" s="38">
        <f t="shared" ref="L35:L36" si="4">I35/J35</f>
        <v>10.199999999999999</v>
      </c>
      <c r="M35" s="283"/>
      <c r="N35" s="447">
        <v>857</v>
      </c>
      <c r="O35" s="183">
        <f>'Crop Budget (Main)'!$K$15</f>
        <v>100</v>
      </c>
      <c r="P35" s="873"/>
      <c r="Q35" s="874"/>
      <c r="R35" s="45">
        <f t="shared" ref="R35:R36" si="5">N35/O35</f>
        <v>8.57</v>
      </c>
    </row>
    <row r="36" spans="1:36" ht="18.75" customHeight="1">
      <c r="A36" s="35" t="s">
        <v>113</v>
      </c>
      <c r="B36" s="36" t="s">
        <v>94</v>
      </c>
      <c r="C36" s="36"/>
      <c r="D36" s="447">
        <v>1208</v>
      </c>
      <c r="E36" s="183">
        <f>'Crop Budget (Main)'!$C$15</f>
        <v>100</v>
      </c>
      <c r="F36" s="37"/>
      <c r="G36" s="38">
        <f t="shared" si="3"/>
        <v>12.08</v>
      </c>
      <c r="H36" s="283"/>
      <c r="I36" s="447">
        <v>1063</v>
      </c>
      <c r="J36" s="183">
        <f>'Crop Budget (Main)'!$G$15</f>
        <v>100</v>
      </c>
      <c r="K36" s="37"/>
      <c r="L36" s="38">
        <f t="shared" si="4"/>
        <v>10.63</v>
      </c>
      <c r="M36" s="283"/>
      <c r="N36" s="447">
        <v>963</v>
      </c>
      <c r="O36" s="183">
        <f>'Crop Budget (Main)'!$K$15</f>
        <v>100</v>
      </c>
      <c r="P36" s="873"/>
      <c r="Q36" s="874"/>
      <c r="R36" s="45">
        <f t="shared" si="5"/>
        <v>9.6300000000000008</v>
      </c>
    </row>
    <row r="37" spans="1:36" ht="18.75" customHeight="1">
      <c r="A37" s="35" t="s">
        <v>306</v>
      </c>
      <c r="B37" s="36" t="s">
        <v>94</v>
      </c>
      <c r="C37" s="36"/>
      <c r="D37" s="447">
        <v>8955</v>
      </c>
      <c r="E37" s="363">
        <f>'Crop Budget (Main)'!$C$15</f>
        <v>100</v>
      </c>
      <c r="F37" s="37"/>
      <c r="G37" s="38">
        <f>D37/E37</f>
        <v>89.55</v>
      </c>
      <c r="H37" s="283"/>
      <c r="I37" s="447">
        <v>9829</v>
      </c>
      <c r="J37" s="363">
        <f>'Crop Budget (Main)'!$G$15</f>
        <v>100</v>
      </c>
      <c r="K37" s="37"/>
      <c r="L37" s="38">
        <f>I37/J37</f>
        <v>98.29</v>
      </c>
      <c r="M37" s="283"/>
      <c r="N37" s="447">
        <v>6428</v>
      </c>
      <c r="O37" s="363">
        <f>'Crop Budget (Main)'!$K$15</f>
        <v>100</v>
      </c>
      <c r="P37" s="873"/>
      <c r="Q37" s="874"/>
      <c r="R37" s="45">
        <f>N37/O37</f>
        <v>64.28</v>
      </c>
    </row>
    <row r="38" spans="1:36" ht="18.75" customHeight="1" thickBot="1">
      <c r="A38" s="48" t="s">
        <v>596</v>
      </c>
      <c r="B38" s="49" t="s">
        <v>94</v>
      </c>
      <c r="C38" s="49"/>
      <c r="D38" s="449">
        <v>1577</v>
      </c>
      <c r="E38" s="364">
        <f>'Crop Budget (Main)'!$C$15</f>
        <v>100</v>
      </c>
      <c r="F38" s="175"/>
      <c r="G38" s="176">
        <f>D38/E38</f>
        <v>15.77</v>
      </c>
      <c r="H38" s="284"/>
      <c r="I38" s="449">
        <v>389</v>
      </c>
      <c r="J38" s="364">
        <f>'Crop Budget (Main)'!$G$15</f>
        <v>100</v>
      </c>
      <c r="K38" s="175"/>
      <c r="L38" s="176">
        <f>I38/J38</f>
        <v>3.89</v>
      </c>
      <c r="M38" s="284"/>
      <c r="N38" s="448"/>
      <c r="O38" s="364">
        <f>'Crop Budget (Main)'!$K$15</f>
        <v>100</v>
      </c>
      <c r="P38" s="871"/>
      <c r="Q38" s="872"/>
      <c r="R38" s="177">
        <f>N38/O38</f>
        <v>0</v>
      </c>
    </row>
    <row r="40" spans="1:36">
      <c r="A40" s="340" t="s">
        <v>493</v>
      </c>
    </row>
  </sheetData>
  <sheetProtection algorithmName="SHA-512" hashValue="glXzViTQiyAlhtlIE0eQdU8okWg1mAHxHDkbjk96rqtRMa2TSloh2D+/tNK0hvzJTVmhuJ2N6Di7g8/ggyBXYw==" saltValue="51lbU0of7rNw7LWjDdtkTQ==" spinCount="100000" sheet="1" objects="1" scenarios="1"/>
  <mergeCells count="33">
    <mergeCell ref="P14:Q14"/>
    <mergeCell ref="P15:Q15"/>
    <mergeCell ref="P16:Q16"/>
    <mergeCell ref="P17:Q17"/>
    <mergeCell ref="A1:R3"/>
    <mergeCell ref="P9:Q9"/>
    <mergeCell ref="P10:Q10"/>
    <mergeCell ref="P11:Q11"/>
    <mergeCell ref="P12:Q12"/>
    <mergeCell ref="P8:Q8"/>
    <mergeCell ref="P13:Q13"/>
    <mergeCell ref="A4:B4"/>
    <mergeCell ref="P32:Q32"/>
    <mergeCell ref="P37:Q37"/>
    <mergeCell ref="P36:Q36"/>
    <mergeCell ref="P34:Q34"/>
    <mergeCell ref="P31:Q31"/>
    <mergeCell ref="P38:Q38"/>
    <mergeCell ref="P18:Q18"/>
    <mergeCell ref="P19:Q19"/>
    <mergeCell ref="P20:Q20"/>
    <mergeCell ref="P21:Q21"/>
    <mergeCell ref="P22:Q22"/>
    <mergeCell ref="P23:Q23"/>
    <mergeCell ref="P24:Q24"/>
    <mergeCell ref="P25:Q25"/>
    <mergeCell ref="P26:Q26"/>
    <mergeCell ref="P27:Q27"/>
    <mergeCell ref="P30:Q30"/>
    <mergeCell ref="P33:Q33"/>
    <mergeCell ref="P28:Q28"/>
    <mergeCell ref="P29:Q29"/>
    <mergeCell ref="P35:Q35"/>
  </mergeCells>
  <conditionalFormatting sqref="H19">
    <cfRule type="dataBar" priority="51">
      <dataBar>
        <cfvo type="min"/>
        <cfvo type="max"/>
        <color rgb="FF63C384"/>
      </dataBar>
    </cfRule>
  </conditionalFormatting>
  <conditionalFormatting sqref="M19">
    <cfRule type="dataBar" priority="52">
      <dataBar>
        <cfvo type="min"/>
        <cfvo type="max"/>
        <color rgb="FF63C384"/>
      </dataBar>
    </cfRule>
  </conditionalFormatting>
  <conditionalFormatting sqref="G9:H9">
    <cfRule type="dataBar" priority="39">
      <dataBar>
        <cfvo type="min"/>
        <cfvo type="max"/>
        <color rgb="FF63C384"/>
      </dataBar>
    </cfRule>
  </conditionalFormatting>
  <conditionalFormatting sqref="L9:M9">
    <cfRule type="dataBar" priority="40">
      <dataBar>
        <cfvo type="min"/>
        <cfvo type="max"/>
        <color rgb="FF63C384"/>
      </dataBar>
    </cfRule>
  </conditionalFormatting>
  <conditionalFormatting sqref="R6 L6 G6">
    <cfRule type="dataBar" priority="393">
      <dataBar>
        <cfvo type="min"/>
        <cfvo type="max"/>
        <color rgb="FF63C384"/>
      </dataBar>
    </cfRule>
  </conditionalFormatting>
  <conditionalFormatting sqref="H6">
    <cfRule type="dataBar" priority="411">
      <dataBar>
        <cfvo type="min"/>
        <cfvo type="max"/>
        <color rgb="FF63C384"/>
      </dataBar>
    </cfRule>
  </conditionalFormatting>
  <conditionalFormatting sqref="M6">
    <cfRule type="dataBar" priority="412">
      <dataBar>
        <cfvo type="min"/>
        <cfvo type="max"/>
        <color rgb="FF63C384"/>
      </dataBar>
    </cfRule>
  </conditionalFormatting>
  <conditionalFormatting sqref="G10:G31 L10:L31 R10:R31">
    <cfRule type="dataBar" priority="438">
      <dataBar>
        <cfvo type="min"/>
        <cfvo type="max"/>
        <color rgb="FF63C384"/>
      </dataBar>
    </cfRule>
  </conditionalFormatting>
  <conditionalFormatting sqref="G7:H7">
    <cfRule type="dataBar" priority="496">
      <dataBar>
        <cfvo type="min"/>
        <cfvo type="max"/>
        <color rgb="FF63C384"/>
      </dataBar>
    </cfRule>
  </conditionalFormatting>
  <conditionalFormatting sqref="L7:M7">
    <cfRule type="dataBar" priority="497">
      <dataBar>
        <cfvo type="min"/>
        <cfvo type="max"/>
        <color rgb="FF63C384"/>
      </dataBar>
    </cfRule>
  </conditionalFormatting>
  <conditionalFormatting sqref="R7">
    <cfRule type="dataBar" priority="498">
      <dataBar>
        <cfvo type="min"/>
        <cfvo type="max"/>
        <color rgb="FF63C384"/>
      </dataBar>
    </cfRule>
  </conditionalFormatting>
  <conditionalFormatting sqref="G34:H34">
    <cfRule type="dataBar" priority="4">
      <dataBar>
        <cfvo type="min"/>
        <cfvo type="max"/>
        <color rgb="FF63C384"/>
      </dataBar>
    </cfRule>
  </conditionalFormatting>
  <conditionalFormatting sqref="L34:M34">
    <cfRule type="dataBar" priority="5">
      <dataBar>
        <cfvo type="min"/>
        <cfvo type="max"/>
        <color rgb="FF63C384"/>
      </dataBar>
    </cfRule>
  </conditionalFormatting>
  <conditionalFormatting sqref="L32 G32 R32">
    <cfRule type="dataBar" priority="567">
      <dataBar>
        <cfvo type="min"/>
        <cfvo type="max"/>
        <color rgb="FF63C384"/>
      </dataBar>
    </cfRule>
  </conditionalFormatting>
  <conditionalFormatting sqref="G35:G38 L35:L38 R35:R38">
    <cfRule type="dataBar" priority="573">
      <dataBar>
        <cfvo type="min"/>
        <cfvo type="max"/>
        <color rgb="FF63C384"/>
      </dataBar>
    </cfRule>
  </conditionalFormatting>
  <pageMargins left="0.7" right="0.7" top="0.75" bottom="0.75" header="0.3" footer="0.3"/>
  <pageSetup scale="53"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AB69"/>
  <sheetViews>
    <sheetView zoomScale="90" zoomScaleNormal="90" workbookViewId="0">
      <pane ySplit="1" topLeftCell="A2" activePane="bottomLeft" state="frozen"/>
      <selection pane="bottomLeft" activeCell="X7" sqref="X7"/>
    </sheetView>
  </sheetViews>
  <sheetFormatPr defaultColWidth="9.140625" defaultRowHeight="15"/>
  <cols>
    <col min="1" max="1" width="30.7109375" style="22" customWidth="1"/>
    <col min="2" max="2" width="11.7109375" style="22" customWidth="1"/>
    <col min="3" max="3" width="18.42578125" style="22" hidden="1" customWidth="1"/>
    <col min="4" max="4" width="18.7109375" style="22" customWidth="1"/>
    <col min="5" max="5" width="12.42578125" style="22" hidden="1" customWidth="1"/>
    <col min="6" max="6" width="14.42578125" style="22" bestFit="1" customWidth="1"/>
    <col min="7" max="7" width="7.28515625" style="34" customWidth="1"/>
    <col min="8" max="8" width="10.85546875" style="22" customWidth="1"/>
    <col min="9" max="9" width="8.85546875" style="22" customWidth="1"/>
    <col min="10" max="10" width="8.7109375" style="22" customWidth="1"/>
    <col min="11" max="11" width="33.28515625" style="22" customWidth="1"/>
    <col min="12" max="12" width="11.7109375" style="22" customWidth="1"/>
    <col min="13" max="13" width="18.42578125" style="22" hidden="1" customWidth="1"/>
    <col min="14" max="14" width="18.7109375" style="22" customWidth="1"/>
    <col min="15" max="15" width="12.42578125" style="22" hidden="1" customWidth="1"/>
    <col min="16" max="16" width="14.42578125" style="22" bestFit="1" customWidth="1"/>
    <col min="17" max="17" width="7.28515625" style="34" customWidth="1"/>
    <col min="18" max="18" width="10.85546875" style="22" customWidth="1"/>
    <col min="19" max="20" width="8.7109375" style="22" customWidth="1"/>
    <col min="21" max="21" width="30.7109375" style="22" customWidth="1"/>
    <col min="22" max="22" width="11.7109375" style="22" customWidth="1"/>
    <col min="23" max="23" width="18.42578125" style="22" hidden="1" customWidth="1"/>
    <col min="24" max="24" width="18.7109375" style="22" customWidth="1"/>
    <col min="25" max="25" width="12.42578125" style="22" hidden="1" customWidth="1"/>
    <col min="26" max="26" width="14.42578125" style="22" customWidth="1"/>
    <col min="27" max="27" width="7.28515625" style="34" customWidth="1"/>
    <col min="28" max="28" width="10.85546875" style="22" customWidth="1"/>
    <col min="29" max="16384" width="9.140625" style="22"/>
  </cols>
  <sheetData>
    <row r="1" spans="1:28" ht="26.25">
      <c r="A1" s="824" t="s">
        <v>78</v>
      </c>
      <c r="B1" s="825"/>
      <c r="C1" s="825"/>
      <c r="D1" s="825"/>
      <c r="E1" s="825"/>
      <c r="F1" s="825"/>
      <c r="G1" s="825"/>
      <c r="H1" s="826"/>
      <c r="I1" s="162"/>
      <c r="J1" s="163"/>
      <c r="K1" s="824" t="s">
        <v>137</v>
      </c>
      <c r="L1" s="825"/>
      <c r="M1" s="825"/>
      <c r="N1" s="825"/>
      <c r="O1" s="825"/>
      <c r="P1" s="825"/>
      <c r="Q1" s="825"/>
      <c r="R1" s="826"/>
      <c r="S1" s="163"/>
      <c r="T1" s="163"/>
      <c r="U1" s="824" t="s">
        <v>138</v>
      </c>
      <c r="V1" s="825"/>
      <c r="W1" s="825"/>
      <c r="X1" s="825"/>
      <c r="Y1" s="825"/>
      <c r="Z1" s="825"/>
      <c r="AA1" s="825"/>
      <c r="AB1" s="826"/>
    </row>
    <row r="2" spans="1:28" ht="16.5" thickBot="1">
      <c r="A2" s="51"/>
      <c r="B2" s="52"/>
      <c r="C2" s="52"/>
      <c r="D2" s="53"/>
      <c r="E2" s="54"/>
      <c r="F2" s="54"/>
      <c r="G2" s="52"/>
      <c r="H2" s="75"/>
      <c r="I2" s="73"/>
      <c r="J2" s="73"/>
      <c r="K2" s="51"/>
      <c r="L2" s="52"/>
      <c r="M2" s="52"/>
      <c r="N2" s="53"/>
      <c r="O2" s="54"/>
      <c r="P2" s="54"/>
      <c r="Q2" s="52"/>
      <c r="R2" s="75"/>
      <c r="S2" s="96"/>
      <c r="T2" s="96"/>
      <c r="U2" s="51"/>
      <c r="V2" s="52"/>
      <c r="W2" s="52"/>
      <c r="X2" s="53"/>
      <c r="Y2" s="54"/>
      <c r="Z2" s="54"/>
      <c r="AA2" s="52"/>
      <c r="AB2" s="75"/>
    </row>
    <row r="3" spans="1:28" ht="16.5" thickBot="1">
      <c r="A3" s="883" t="s">
        <v>166</v>
      </c>
      <c r="B3" s="884"/>
      <c r="C3" s="884"/>
      <c r="D3" s="884"/>
      <c r="E3" s="884"/>
      <c r="F3" s="884"/>
      <c r="G3" s="884"/>
      <c r="H3" s="885"/>
      <c r="I3" s="78"/>
      <c r="J3" s="96"/>
      <c r="K3" s="883" t="s">
        <v>166</v>
      </c>
      <c r="L3" s="884"/>
      <c r="M3" s="884"/>
      <c r="N3" s="884"/>
      <c r="O3" s="884"/>
      <c r="P3" s="884"/>
      <c r="Q3" s="884"/>
      <c r="R3" s="885"/>
      <c r="S3" s="96"/>
      <c r="T3" s="96"/>
      <c r="U3" s="883" t="s">
        <v>166</v>
      </c>
      <c r="V3" s="884"/>
      <c r="W3" s="884"/>
      <c r="X3" s="884"/>
      <c r="Y3" s="884"/>
      <c r="Z3" s="884"/>
      <c r="AA3" s="884"/>
      <c r="AB3" s="885"/>
    </row>
    <row r="4" spans="1:28" ht="31.5">
      <c r="A4" s="136" t="s">
        <v>124</v>
      </c>
      <c r="B4" s="137" t="s">
        <v>229</v>
      </c>
      <c r="C4" s="138" t="s">
        <v>125</v>
      </c>
      <c r="D4" s="137" t="s">
        <v>126</v>
      </c>
      <c r="E4" s="138" t="s">
        <v>12</v>
      </c>
      <c r="F4" s="138" t="s">
        <v>127</v>
      </c>
      <c r="G4" s="137" t="s">
        <v>309</v>
      </c>
      <c r="H4" s="139" t="s">
        <v>128</v>
      </c>
      <c r="I4" s="140"/>
      <c r="J4" s="96"/>
      <c r="K4" s="136" t="s">
        <v>124</v>
      </c>
      <c r="L4" s="137" t="s">
        <v>229</v>
      </c>
      <c r="M4" s="138" t="s">
        <v>125</v>
      </c>
      <c r="N4" s="137" t="s">
        <v>126</v>
      </c>
      <c r="O4" s="138" t="s">
        <v>12</v>
      </c>
      <c r="P4" s="138" t="s">
        <v>127</v>
      </c>
      <c r="Q4" s="137" t="s">
        <v>309</v>
      </c>
      <c r="R4" s="139" t="s">
        <v>128</v>
      </c>
      <c r="S4" s="96"/>
      <c r="T4" s="96"/>
      <c r="U4" s="136" t="s">
        <v>124</v>
      </c>
      <c r="V4" s="137" t="s">
        <v>229</v>
      </c>
      <c r="W4" s="138" t="s">
        <v>125</v>
      </c>
      <c r="X4" s="137" t="s">
        <v>126</v>
      </c>
      <c r="Y4" s="138" t="s">
        <v>12</v>
      </c>
      <c r="Z4" s="138" t="s">
        <v>127</v>
      </c>
      <c r="AA4" s="137" t="s">
        <v>309</v>
      </c>
      <c r="AB4" s="139" t="s">
        <v>128</v>
      </c>
    </row>
    <row r="5" spans="1:28" ht="15.75">
      <c r="A5" s="141" t="s">
        <v>424</v>
      </c>
      <c r="B5" s="142"/>
      <c r="C5" s="74"/>
      <c r="D5" s="99" t="s">
        <v>153</v>
      </c>
      <c r="E5" s="165"/>
      <c r="F5" s="99" t="s">
        <v>153</v>
      </c>
      <c r="G5" s="54"/>
      <c r="H5" s="144"/>
      <c r="I5" s="145"/>
      <c r="J5" s="77"/>
      <c r="K5" s="141" t="s">
        <v>424</v>
      </c>
      <c r="L5" s="142"/>
      <c r="M5" s="33"/>
      <c r="N5" s="98" t="s">
        <v>153</v>
      </c>
      <c r="O5" s="146"/>
      <c r="P5" s="98" t="s">
        <v>153</v>
      </c>
      <c r="Q5" s="54"/>
      <c r="R5" s="144"/>
      <c r="S5" s="77"/>
      <c r="T5" s="77"/>
      <c r="U5" s="141" t="s">
        <v>424</v>
      </c>
      <c r="V5" s="142"/>
      <c r="W5" s="33"/>
      <c r="X5" s="98" t="s">
        <v>153</v>
      </c>
      <c r="Y5" s="146"/>
      <c r="Z5" s="98" t="s">
        <v>153</v>
      </c>
      <c r="AA5" s="54"/>
      <c r="AB5" s="144"/>
    </row>
    <row r="6" spans="1:28" ht="15.75">
      <c r="A6" s="450" t="s">
        <v>202</v>
      </c>
      <c r="B6" s="59" t="str">
        <f>VLOOKUP($A6,CornPreChemicals,6,FALSE)</f>
        <v>2/4/15</v>
      </c>
      <c r="C6" s="29" t="str">
        <f>VLOOKUP($A6,CornPreChemicals,4,FALSE)</f>
        <v>Gallon</v>
      </c>
      <c r="D6" s="451">
        <v>75</v>
      </c>
      <c r="E6" s="789">
        <f>VLOOKUP($A6,CornPreChemicals,3,FALSE)</f>
        <v>4</v>
      </c>
      <c r="F6" s="452">
        <v>1</v>
      </c>
      <c r="G6" s="59" t="str">
        <f>VLOOKUP($A6,CornPreChemicals,2,FALSE)</f>
        <v>qt</v>
      </c>
      <c r="H6" s="61">
        <f>F6/E6*D6</f>
        <v>18.75</v>
      </c>
      <c r="I6" s="31"/>
      <c r="J6" s="77"/>
      <c r="K6" s="450" t="s">
        <v>155</v>
      </c>
      <c r="L6" s="59" t="str">
        <f>VLOOKUP(K6,SoybeanPreChemicals,6,FALSE)</f>
        <v>5/15</v>
      </c>
      <c r="M6" s="29" t="str">
        <f>VLOOKUP(K6,SoybeanPreChemicals,4,FALSE)</f>
        <v>Gallon</v>
      </c>
      <c r="N6" s="451">
        <v>68.87</v>
      </c>
      <c r="O6" s="790">
        <f>VLOOKUP(K6,SoybeanPreChemicals,3,FALSE)</f>
        <v>8</v>
      </c>
      <c r="P6" s="452">
        <v>1.5</v>
      </c>
      <c r="Q6" s="59" t="str">
        <f>VLOOKUP(K6,SoybeanPreChemicals,2,FALSE)</f>
        <v>pt</v>
      </c>
      <c r="R6" s="61">
        <f>P6/O6*N6</f>
        <v>12.913125000000001</v>
      </c>
      <c r="S6" s="77"/>
      <c r="T6" s="77"/>
      <c r="U6" s="450" t="s">
        <v>371</v>
      </c>
      <c r="V6" s="59" t="str">
        <f>VLOOKUP(U6,WheatChemicals,6,FALSE)</f>
        <v>4</v>
      </c>
      <c r="W6" s="29" t="str">
        <f>VLOOKUP(U6,WheatChemicals,4,FALSE)</f>
        <v>Gallon</v>
      </c>
      <c r="X6" s="451">
        <v>60</v>
      </c>
      <c r="Y6" s="790">
        <f>VLOOKUP(U6,WheatChemicals,3,FALSE)</f>
        <v>8</v>
      </c>
      <c r="Z6" s="452">
        <v>2</v>
      </c>
      <c r="AA6" s="59" t="str">
        <f>VLOOKUP(U6,WheatChemicals,2,FALSE)</f>
        <v>pt</v>
      </c>
      <c r="AB6" s="61">
        <f>Z6/Y6*X6</f>
        <v>15</v>
      </c>
    </row>
    <row r="7" spans="1:28" ht="15.75">
      <c r="A7" s="450" t="s">
        <v>176</v>
      </c>
      <c r="B7" s="59" t="str">
        <f>VLOOKUP($A7,CornPreChemicals,6,FALSE)</f>
        <v>5</v>
      </c>
      <c r="C7" s="29" t="str">
        <f>VLOOKUP($A7,CornPreChemicals,4,FALSE)</f>
        <v>Gallon</v>
      </c>
      <c r="D7" s="451">
        <v>15</v>
      </c>
      <c r="E7" s="789">
        <f>VLOOKUP($A7,CornPreChemicals,3,FALSE)</f>
        <v>4</v>
      </c>
      <c r="F7" s="452">
        <v>1</v>
      </c>
      <c r="G7" s="59" t="str">
        <f>VLOOKUP($A7,CornPreChemicals,2,FALSE)</f>
        <v>qt</v>
      </c>
      <c r="H7" s="61">
        <f t="shared" ref="H7:H10" si="0">F7/E7*D7</f>
        <v>3.75</v>
      </c>
      <c r="I7" s="31"/>
      <c r="J7" s="77"/>
      <c r="K7" s="450" t="s">
        <v>13</v>
      </c>
      <c r="L7" s="59">
        <f>VLOOKUP(K7,SoybeanPreChemicals,6,FALSE)</f>
        <v>0</v>
      </c>
      <c r="M7" s="29" t="str">
        <f>VLOOKUP(K7,SoybeanPreChemicals,4,FALSE)</f>
        <v>None</v>
      </c>
      <c r="N7" s="451">
        <v>0</v>
      </c>
      <c r="O7" s="790">
        <f>VLOOKUP(K7,SoybeanPreChemicals,3,FALSE)</f>
        <v>1</v>
      </c>
      <c r="P7" s="452">
        <v>0</v>
      </c>
      <c r="Q7" s="59">
        <f>VLOOKUP(K7,SoybeanPreChemicals,2,FALSE)</f>
        <v>0</v>
      </c>
      <c r="R7" s="61">
        <f t="shared" ref="R7:R10" si="1">P7/O7*N7</f>
        <v>0</v>
      </c>
      <c r="S7" s="77"/>
      <c r="T7" s="77"/>
      <c r="U7" s="450" t="s">
        <v>13</v>
      </c>
      <c r="V7" s="59">
        <f>VLOOKUP(U7,WheatChemicals,6,FALSE)</f>
        <v>0</v>
      </c>
      <c r="W7" s="29" t="str">
        <f>VLOOKUP(U7,WheatChemicals,4,FALSE)</f>
        <v>None</v>
      </c>
      <c r="X7" s="451">
        <v>0</v>
      </c>
      <c r="Y7" s="790">
        <f>VLOOKUP(U7,WheatChemicals,3,FALSE)</f>
        <v>1</v>
      </c>
      <c r="Z7" s="452">
        <v>0</v>
      </c>
      <c r="AA7" s="59">
        <f>VLOOKUP(U7,WheatChemicals,2,FALSE)</f>
        <v>0</v>
      </c>
      <c r="AB7" s="61">
        <f t="shared" ref="AB7:AB10" si="2">Z7/Y7*X7</f>
        <v>0</v>
      </c>
    </row>
    <row r="8" spans="1:28" ht="15.75">
      <c r="A8" s="450" t="s">
        <v>13</v>
      </c>
      <c r="B8" s="59">
        <f>VLOOKUP($A8,CornPreChemicals,6,FALSE)</f>
        <v>0</v>
      </c>
      <c r="C8" s="29" t="str">
        <f>VLOOKUP($A8,CornPreChemicals,4,FALSE)</f>
        <v>None</v>
      </c>
      <c r="D8" s="451">
        <v>0</v>
      </c>
      <c r="E8" s="789">
        <f>VLOOKUP($A8,CornPreChemicals,3,FALSE)</f>
        <v>1</v>
      </c>
      <c r="F8" s="452">
        <v>0</v>
      </c>
      <c r="G8" s="59">
        <f>VLOOKUP($A8,CornPreChemicals,2,FALSE)</f>
        <v>0</v>
      </c>
      <c r="H8" s="61">
        <f t="shared" si="0"/>
        <v>0</v>
      </c>
      <c r="I8" s="31"/>
      <c r="J8" s="77"/>
      <c r="K8" s="450" t="s">
        <v>13</v>
      </c>
      <c r="L8" s="59">
        <f>VLOOKUP(K8,SoybeanPreChemicals,6,FALSE)</f>
        <v>0</v>
      </c>
      <c r="M8" s="29" t="str">
        <f>VLOOKUP(K8,SoybeanPreChemicals,4,FALSE)</f>
        <v>None</v>
      </c>
      <c r="N8" s="451">
        <v>0</v>
      </c>
      <c r="O8" s="790">
        <f>VLOOKUP(K8,SoybeanPreChemicals,3,FALSE)</f>
        <v>1</v>
      </c>
      <c r="P8" s="452">
        <v>0</v>
      </c>
      <c r="Q8" s="59">
        <f>VLOOKUP(K8,SoybeanPreChemicals,2,FALSE)</f>
        <v>0</v>
      </c>
      <c r="R8" s="61">
        <f t="shared" si="1"/>
        <v>0</v>
      </c>
      <c r="S8" s="77"/>
      <c r="T8" s="77"/>
      <c r="U8" s="450" t="s">
        <v>13</v>
      </c>
      <c r="V8" s="59">
        <f>VLOOKUP(U8,WheatChemicals,6,FALSE)</f>
        <v>0</v>
      </c>
      <c r="W8" s="29" t="str">
        <f>VLOOKUP(U8,WheatChemicals,4,FALSE)</f>
        <v>None</v>
      </c>
      <c r="X8" s="451">
        <v>0</v>
      </c>
      <c r="Y8" s="790">
        <f>VLOOKUP(U8,WheatChemicals,3,FALSE)</f>
        <v>1</v>
      </c>
      <c r="Z8" s="452">
        <v>0</v>
      </c>
      <c r="AA8" s="59">
        <f>VLOOKUP(U8,WheatChemicals,2,FALSE)</f>
        <v>0</v>
      </c>
      <c r="AB8" s="61">
        <f t="shared" si="2"/>
        <v>0</v>
      </c>
    </row>
    <row r="9" spans="1:28" ht="15.75">
      <c r="A9" s="450" t="s">
        <v>13</v>
      </c>
      <c r="B9" s="59">
        <f>VLOOKUP($A9,CornPreChemicals,6,FALSE)</f>
        <v>0</v>
      </c>
      <c r="C9" s="29" t="str">
        <f>VLOOKUP($A9,CornPreChemicals,4,FALSE)</f>
        <v>None</v>
      </c>
      <c r="D9" s="451">
        <v>0</v>
      </c>
      <c r="E9" s="789">
        <f>VLOOKUP($A9,CornPreChemicals,3,FALSE)</f>
        <v>1</v>
      </c>
      <c r="F9" s="452">
        <v>0</v>
      </c>
      <c r="G9" s="59">
        <f>VLOOKUP($A9,CornPreChemicals,2,FALSE)</f>
        <v>0</v>
      </c>
      <c r="H9" s="61">
        <f t="shared" si="0"/>
        <v>0</v>
      </c>
      <c r="I9" s="31"/>
      <c r="J9" s="77"/>
      <c r="K9" s="450" t="s">
        <v>13</v>
      </c>
      <c r="L9" s="59">
        <f>VLOOKUP(K9,SoybeanPreChemicals,6,FALSE)</f>
        <v>0</v>
      </c>
      <c r="M9" s="29" t="str">
        <f>VLOOKUP(K9,SoybeanPreChemicals,4,FALSE)</f>
        <v>None</v>
      </c>
      <c r="N9" s="451">
        <v>0</v>
      </c>
      <c r="O9" s="790">
        <f>VLOOKUP(K9,SoybeanPreChemicals,3,FALSE)</f>
        <v>1</v>
      </c>
      <c r="P9" s="452">
        <v>0</v>
      </c>
      <c r="Q9" s="59">
        <f>VLOOKUP(K9,SoybeanPreChemicals,2,FALSE)</f>
        <v>0</v>
      </c>
      <c r="R9" s="61">
        <f t="shared" si="1"/>
        <v>0</v>
      </c>
      <c r="S9" s="77"/>
      <c r="T9" s="77"/>
      <c r="U9" s="450" t="s">
        <v>13</v>
      </c>
      <c r="V9" s="59">
        <f>VLOOKUP(U9,WheatChemicals,6,FALSE)</f>
        <v>0</v>
      </c>
      <c r="W9" s="29" t="str">
        <f>VLOOKUP(U9,WheatChemicals,4,FALSE)</f>
        <v>None</v>
      </c>
      <c r="X9" s="451">
        <v>0</v>
      </c>
      <c r="Y9" s="790">
        <f>VLOOKUP(U9,WheatChemicals,3,FALSE)</f>
        <v>1</v>
      </c>
      <c r="Z9" s="452">
        <v>0</v>
      </c>
      <c r="AA9" s="59">
        <f>VLOOKUP(U9,WheatChemicals,2,FALSE)</f>
        <v>0</v>
      </c>
      <c r="AB9" s="61">
        <f t="shared" si="2"/>
        <v>0</v>
      </c>
    </row>
    <row r="10" spans="1:28" ht="15.75">
      <c r="A10" s="450" t="s">
        <v>13</v>
      </c>
      <c r="B10" s="59">
        <f>VLOOKUP($A10,CornPreChemicals,6,FALSE)</f>
        <v>0</v>
      </c>
      <c r="C10" s="29" t="str">
        <f>VLOOKUP($A10,CornPreChemicals,4,FALSE)</f>
        <v>None</v>
      </c>
      <c r="D10" s="451">
        <v>0</v>
      </c>
      <c r="E10" s="789">
        <f>VLOOKUP($A10,CornPreChemicals,3,FALSE)</f>
        <v>1</v>
      </c>
      <c r="F10" s="452">
        <v>0</v>
      </c>
      <c r="G10" s="59">
        <f>VLOOKUP($A10,CornPreChemicals,2,FALSE)</f>
        <v>0</v>
      </c>
      <c r="H10" s="61">
        <f t="shared" si="0"/>
        <v>0</v>
      </c>
      <c r="I10" s="31"/>
      <c r="J10" s="77"/>
      <c r="K10" s="450" t="s">
        <v>13</v>
      </c>
      <c r="L10" s="59">
        <f>VLOOKUP(K10,SoybeanPreChemicals,6,FALSE)</f>
        <v>0</v>
      </c>
      <c r="M10" s="29" t="str">
        <f>VLOOKUP(K10,SoybeanPreChemicals,4,FALSE)</f>
        <v>None</v>
      </c>
      <c r="N10" s="451">
        <v>0</v>
      </c>
      <c r="O10" s="790">
        <f>VLOOKUP(K10,SoybeanPreChemicals,3,FALSE)</f>
        <v>1</v>
      </c>
      <c r="P10" s="452">
        <v>0</v>
      </c>
      <c r="Q10" s="59">
        <f>VLOOKUP(K10,SoybeanPreChemicals,2,FALSE)</f>
        <v>0</v>
      </c>
      <c r="R10" s="61">
        <f t="shared" si="1"/>
        <v>0</v>
      </c>
      <c r="S10" s="77"/>
      <c r="T10" s="77"/>
      <c r="U10" s="450" t="s">
        <v>13</v>
      </c>
      <c r="V10" s="59">
        <f>VLOOKUP(U10,WheatChemicals,6,FALSE)</f>
        <v>0</v>
      </c>
      <c r="W10" s="29" t="str">
        <f>VLOOKUP(U10,WheatChemicals,4,FALSE)</f>
        <v>None</v>
      </c>
      <c r="X10" s="451">
        <v>0</v>
      </c>
      <c r="Y10" s="790">
        <f>VLOOKUP(U10,WheatChemicals,3,FALSE)</f>
        <v>1</v>
      </c>
      <c r="Z10" s="452">
        <v>0</v>
      </c>
      <c r="AA10" s="59">
        <f>VLOOKUP(U10,WheatChemicals,2,FALSE)</f>
        <v>0</v>
      </c>
      <c r="AB10" s="61">
        <f t="shared" si="2"/>
        <v>0</v>
      </c>
    </row>
    <row r="11" spans="1:28" ht="15.75">
      <c r="A11" s="63"/>
      <c r="B11" s="64"/>
      <c r="C11" s="65"/>
      <c r="D11" s="147"/>
      <c r="E11" s="149"/>
      <c r="F11" s="148"/>
      <c r="G11" s="21"/>
      <c r="H11" s="61"/>
      <c r="I11" s="31"/>
      <c r="J11" s="77"/>
      <c r="K11" s="63"/>
      <c r="L11" s="64"/>
      <c r="M11" s="65"/>
      <c r="N11" s="147"/>
      <c r="O11" s="149"/>
      <c r="P11" s="148"/>
      <c r="Q11" s="21"/>
      <c r="R11" s="61"/>
      <c r="S11" s="77"/>
      <c r="T11" s="77"/>
      <c r="U11" s="63"/>
      <c r="V11" s="64"/>
      <c r="W11" s="65"/>
      <c r="X11" s="147"/>
      <c r="Y11" s="149"/>
      <c r="Z11" s="148"/>
      <c r="AA11" s="21"/>
      <c r="AB11" s="61"/>
    </row>
    <row r="12" spans="1:28" ht="15.75">
      <c r="A12" s="150" t="s">
        <v>425</v>
      </c>
      <c r="B12" s="142"/>
      <c r="C12" s="33"/>
      <c r="D12" s="99" t="s">
        <v>153</v>
      </c>
      <c r="E12" s="166"/>
      <c r="F12" s="97" t="s">
        <v>153</v>
      </c>
      <c r="G12" s="54"/>
      <c r="H12" s="144"/>
      <c r="I12" s="145"/>
      <c r="J12" s="77"/>
      <c r="K12" s="150" t="s">
        <v>425</v>
      </c>
      <c r="L12" s="142"/>
      <c r="M12" s="33"/>
      <c r="N12" s="98" t="s">
        <v>153</v>
      </c>
      <c r="O12" s="32"/>
      <c r="P12" s="98" t="s">
        <v>153</v>
      </c>
      <c r="Q12" s="54"/>
      <c r="R12" s="144"/>
      <c r="S12" s="77"/>
      <c r="T12" s="77"/>
      <c r="U12" s="150" t="s">
        <v>425</v>
      </c>
      <c r="V12" s="143"/>
      <c r="W12" s="33"/>
      <c r="X12" s="98" t="s">
        <v>153</v>
      </c>
      <c r="Y12" s="146"/>
      <c r="Z12" s="98" t="s">
        <v>153</v>
      </c>
      <c r="AA12" s="54"/>
      <c r="AB12" s="144"/>
    </row>
    <row r="13" spans="1:28" ht="15.75">
      <c r="A13" s="450" t="s">
        <v>13</v>
      </c>
      <c r="B13" s="151"/>
      <c r="C13" s="29" t="str">
        <f>VLOOKUP($A13,CornAdjuvants,4,FALSE)</f>
        <v>None</v>
      </c>
      <c r="D13" s="451">
        <v>0</v>
      </c>
      <c r="E13" s="790">
        <f>VLOOKUP($A13,CornAdjuvants,3,FALSE)</f>
        <v>1</v>
      </c>
      <c r="F13" s="452">
        <v>0</v>
      </c>
      <c r="G13" s="59">
        <f>VLOOKUP($A13,CornAdjuvants,2,FALSE)</f>
        <v>0</v>
      </c>
      <c r="H13" s="61">
        <f>F13/E13*D13</f>
        <v>0</v>
      </c>
      <c r="I13" s="31"/>
      <c r="J13" s="77"/>
      <c r="K13" s="450" t="s">
        <v>13</v>
      </c>
      <c r="L13" s="151"/>
      <c r="M13" s="29" t="str">
        <f>VLOOKUP($K13,CornAdjuvants,4,FALSE)</f>
        <v>None</v>
      </c>
      <c r="N13" s="451">
        <v>0</v>
      </c>
      <c r="O13" s="790">
        <f>VLOOKUP($K13,CornAdjuvants,3,FALSE)</f>
        <v>1</v>
      </c>
      <c r="P13" s="452">
        <v>0</v>
      </c>
      <c r="Q13" s="59">
        <f>VLOOKUP($K13,CornAdjuvants,2,FALSE)</f>
        <v>0</v>
      </c>
      <c r="R13" s="61">
        <f>P13/O13*N13</f>
        <v>0</v>
      </c>
      <c r="S13" s="77"/>
      <c r="T13" s="77"/>
      <c r="U13" s="450" t="s">
        <v>13</v>
      </c>
      <c r="V13" s="151"/>
      <c r="W13" s="29" t="str">
        <f>VLOOKUP(U13,CornAdjuvants,4,FALSE)</f>
        <v>None</v>
      </c>
      <c r="X13" s="451">
        <v>0</v>
      </c>
      <c r="Y13" s="790">
        <f>VLOOKUP(U13,CornAdjuvants,3,FALSE)</f>
        <v>1</v>
      </c>
      <c r="Z13" s="452">
        <v>0</v>
      </c>
      <c r="AA13" s="59">
        <f>VLOOKUP(U13,CornAdjuvants,2,FALSE)</f>
        <v>0</v>
      </c>
      <c r="AB13" s="61">
        <f>Z13/Y13*X13</f>
        <v>0</v>
      </c>
    </row>
    <row r="14" spans="1:28" ht="15.75">
      <c r="A14" s="450" t="s">
        <v>13</v>
      </c>
      <c r="B14" s="151"/>
      <c r="C14" s="29" t="str">
        <f>VLOOKUP($A14,CornAdjuvants,4,FALSE)</f>
        <v>None</v>
      </c>
      <c r="D14" s="451">
        <v>0</v>
      </c>
      <c r="E14" s="790">
        <f>VLOOKUP($A14,CornAdjuvants,3,FALSE)</f>
        <v>1</v>
      </c>
      <c r="F14" s="452">
        <v>0</v>
      </c>
      <c r="G14" s="59">
        <f>VLOOKUP($A14,CornAdjuvants,2,FALSE)</f>
        <v>0</v>
      </c>
      <c r="H14" s="61">
        <f t="shared" ref="H14:H17" si="3">F14/E14*D14</f>
        <v>0</v>
      </c>
      <c r="I14" s="31"/>
      <c r="J14" s="77"/>
      <c r="K14" s="450" t="s">
        <v>13</v>
      </c>
      <c r="L14" s="151"/>
      <c r="M14" s="29" t="str">
        <f>VLOOKUP($K14,CornAdjuvants,4,FALSE)</f>
        <v>None</v>
      </c>
      <c r="N14" s="451">
        <v>0</v>
      </c>
      <c r="O14" s="790">
        <f>VLOOKUP($K14,CornAdjuvants,3,FALSE)</f>
        <v>1</v>
      </c>
      <c r="P14" s="452">
        <v>0</v>
      </c>
      <c r="Q14" s="59">
        <f>VLOOKUP($K14,CornAdjuvants,2,FALSE)</f>
        <v>0</v>
      </c>
      <c r="R14" s="61">
        <f t="shared" ref="R14:R17" si="4">P14/O14*N14</f>
        <v>0</v>
      </c>
      <c r="S14" s="77"/>
      <c r="T14" s="77"/>
      <c r="U14" s="450" t="s">
        <v>13</v>
      </c>
      <c r="V14" s="151"/>
      <c r="W14" s="29" t="str">
        <f>VLOOKUP(U14,CornAdjuvants,4,FALSE)</f>
        <v>None</v>
      </c>
      <c r="X14" s="451">
        <v>0</v>
      </c>
      <c r="Y14" s="790">
        <f>VLOOKUP(U14,CornAdjuvants,3,FALSE)</f>
        <v>1</v>
      </c>
      <c r="Z14" s="452">
        <v>0</v>
      </c>
      <c r="AA14" s="59">
        <f>VLOOKUP(U14,CornAdjuvants,2,FALSE)</f>
        <v>0</v>
      </c>
      <c r="AB14" s="61">
        <f t="shared" ref="AB14:AB17" si="5">Z14/Y14*X14</f>
        <v>0</v>
      </c>
    </row>
    <row r="15" spans="1:28" ht="15.75">
      <c r="A15" s="450" t="s">
        <v>13</v>
      </c>
      <c r="B15" s="151"/>
      <c r="C15" s="29" t="str">
        <f>VLOOKUP($A15,CornAdjuvants,4,FALSE)</f>
        <v>None</v>
      </c>
      <c r="D15" s="451">
        <v>0</v>
      </c>
      <c r="E15" s="790">
        <f>VLOOKUP($A15,CornAdjuvants,3,FALSE)</f>
        <v>1</v>
      </c>
      <c r="F15" s="452">
        <v>0</v>
      </c>
      <c r="G15" s="59">
        <f>VLOOKUP($A15,CornAdjuvants,2,FALSE)</f>
        <v>0</v>
      </c>
      <c r="H15" s="61">
        <f t="shared" si="3"/>
        <v>0</v>
      </c>
      <c r="I15" s="31"/>
      <c r="J15" s="382" t="s">
        <v>439</v>
      </c>
      <c r="K15" s="450" t="s">
        <v>13</v>
      </c>
      <c r="L15" s="151"/>
      <c r="M15" s="29" t="str">
        <f>VLOOKUP($K15,CornAdjuvants,4,FALSE)</f>
        <v>None</v>
      </c>
      <c r="N15" s="451">
        <v>0</v>
      </c>
      <c r="O15" s="790">
        <f>VLOOKUP($K15,CornAdjuvants,3,FALSE)</f>
        <v>1</v>
      </c>
      <c r="P15" s="452">
        <v>0</v>
      </c>
      <c r="Q15" s="59">
        <f>VLOOKUP($K15,CornAdjuvants,2,FALSE)</f>
        <v>0</v>
      </c>
      <c r="R15" s="61">
        <f t="shared" si="4"/>
        <v>0</v>
      </c>
      <c r="S15" s="77"/>
      <c r="T15" s="382" t="s">
        <v>439</v>
      </c>
      <c r="U15" s="450" t="s">
        <v>13</v>
      </c>
      <c r="V15" s="151"/>
      <c r="W15" s="29" t="str">
        <f>VLOOKUP(U15,CornAdjuvants,4,FALSE)</f>
        <v>None</v>
      </c>
      <c r="X15" s="451">
        <v>0</v>
      </c>
      <c r="Y15" s="790">
        <f>VLOOKUP(U15,CornAdjuvants,3,FALSE)</f>
        <v>1</v>
      </c>
      <c r="Z15" s="452">
        <v>0</v>
      </c>
      <c r="AA15" s="59">
        <f>VLOOKUP(U15,CornAdjuvants,2,FALSE)</f>
        <v>0</v>
      </c>
      <c r="AB15" s="61">
        <f t="shared" si="5"/>
        <v>0</v>
      </c>
    </row>
    <row r="16" spans="1:28" ht="15.75">
      <c r="A16" s="450" t="s">
        <v>13</v>
      </c>
      <c r="B16" s="151"/>
      <c r="C16" s="29" t="str">
        <f>VLOOKUP($A16,CornAdjuvants,4,FALSE)</f>
        <v>None</v>
      </c>
      <c r="D16" s="451">
        <v>0</v>
      </c>
      <c r="E16" s="790">
        <f>VLOOKUP($A16,CornAdjuvants,3,FALSE)</f>
        <v>1</v>
      </c>
      <c r="F16" s="452">
        <v>0</v>
      </c>
      <c r="G16" s="59">
        <f>VLOOKUP($A16,CornAdjuvants,2,FALSE)</f>
        <v>0</v>
      </c>
      <c r="H16" s="61">
        <f t="shared" si="3"/>
        <v>0</v>
      </c>
      <c r="I16" s="31"/>
      <c r="J16" s="382" t="s">
        <v>440</v>
      </c>
      <c r="K16" s="450" t="s">
        <v>13</v>
      </c>
      <c r="L16" s="151"/>
      <c r="M16" s="29" t="str">
        <f>VLOOKUP($K16,CornAdjuvants,4,FALSE)</f>
        <v>None</v>
      </c>
      <c r="N16" s="451">
        <v>0</v>
      </c>
      <c r="O16" s="790">
        <f>VLOOKUP($K16,CornAdjuvants,3,FALSE)</f>
        <v>1</v>
      </c>
      <c r="P16" s="452">
        <v>0</v>
      </c>
      <c r="Q16" s="59">
        <f>VLOOKUP($K16,CornAdjuvants,2,FALSE)</f>
        <v>0</v>
      </c>
      <c r="R16" s="61">
        <f t="shared" si="4"/>
        <v>0</v>
      </c>
      <c r="S16" s="77"/>
      <c r="T16" s="382" t="s">
        <v>440</v>
      </c>
      <c r="U16" s="450" t="s">
        <v>13</v>
      </c>
      <c r="V16" s="151"/>
      <c r="W16" s="29" t="str">
        <f>VLOOKUP(U16,CornAdjuvants,4,FALSE)</f>
        <v>None</v>
      </c>
      <c r="X16" s="451">
        <v>0</v>
      </c>
      <c r="Y16" s="790">
        <f>VLOOKUP(U16,CornAdjuvants,3,FALSE)</f>
        <v>1</v>
      </c>
      <c r="Z16" s="452">
        <v>0</v>
      </c>
      <c r="AA16" s="59">
        <f>VLOOKUP(U16,CornAdjuvants,2,FALSE)</f>
        <v>0</v>
      </c>
      <c r="AB16" s="61">
        <f t="shared" si="5"/>
        <v>0</v>
      </c>
    </row>
    <row r="17" spans="1:28" ht="15.75">
      <c r="A17" s="450" t="s">
        <v>13</v>
      </c>
      <c r="B17" s="151"/>
      <c r="C17" s="29" t="str">
        <f>VLOOKUP($A17,CornAdjuvants,4,FALSE)</f>
        <v>None</v>
      </c>
      <c r="D17" s="451">
        <v>0</v>
      </c>
      <c r="E17" s="790">
        <f>VLOOKUP($A17,CornAdjuvants,3,FALSE)</f>
        <v>1</v>
      </c>
      <c r="F17" s="452">
        <v>0</v>
      </c>
      <c r="G17" s="59">
        <f>VLOOKUP($A17,CornAdjuvants,2,FALSE)</f>
        <v>0</v>
      </c>
      <c r="H17" s="61">
        <f t="shared" si="3"/>
        <v>0</v>
      </c>
      <c r="I17" s="31"/>
      <c r="J17" s="886" t="s">
        <v>438</v>
      </c>
      <c r="K17" s="450" t="s">
        <v>13</v>
      </c>
      <c r="L17" s="151"/>
      <c r="M17" s="29" t="str">
        <f>VLOOKUP($K17,CornAdjuvants,4,FALSE)</f>
        <v>None</v>
      </c>
      <c r="N17" s="451">
        <v>0</v>
      </c>
      <c r="O17" s="790">
        <f>VLOOKUP($K17,CornAdjuvants,3,FALSE)</f>
        <v>1</v>
      </c>
      <c r="P17" s="452">
        <v>0</v>
      </c>
      <c r="Q17" s="59">
        <f>VLOOKUP($K17,CornAdjuvants,2,FALSE)</f>
        <v>0</v>
      </c>
      <c r="R17" s="61">
        <f t="shared" si="4"/>
        <v>0</v>
      </c>
      <c r="S17" s="77"/>
      <c r="T17" s="886" t="s">
        <v>438</v>
      </c>
      <c r="U17" s="450" t="s">
        <v>13</v>
      </c>
      <c r="V17" s="151"/>
      <c r="W17" s="29" t="str">
        <f>VLOOKUP(U17,CornAdjuvants,4,FALSE)</f>
        <v>None</v>
      </c>
      <c r="X17" s="451">
        <v>0</v>
      </c>
      <c r="Y17" s="790">
        <f>VLOOKUP(U17,CornAdjuvants,3,FALSE)</f>
        <v>1</v>
      </c>
      <c r="Z17" s="452">
        <v>0</v>
      </c>
      <c r="AA17" s="59">
        <f>VLOOKUP(U17,CornAdjuvants,2,FALSE)</f>
        <v>0</v>
      </c>
      <c r="AB17" s="61">
        <f t="shared" si="5"/>
        <v>0</v>
      </c>
    </row>
    <row r="18" spans="1:28" ht="15.75" customHeight="1">
      <c r="A18" s="55"/>
      <c r="B18" s="56"/>
      <c r="C18" s="57"/>
      <c r="D18" s="58"/>
      <c r="E18" s="59"/>
      <c r="F18" s="60"/>
      <c r="G18" s="59"/>
      <c r="H18" s="61"/>
      <c r="I18" s="31"/>
      <c r="J18" s="882"/>
      <c r="K18" s="55"/>
      <c r="L18" s="56"/>
      <c r="M18" s="57"/>
      <c r="N18" s="58"/>
      <c r="O18" s="59"/>
      <c r="P18" s="60"/>
      <c r="Q18" s="59"/>
      <c r="R18" s="61"/>
      <c r="S18" s="77"/>
      <c r="T18" s="882"/>
      <c r="U18" s="55"/>
      <c r="V18" s="56"/>
      <c r="W18" s="57"/>
      <c r="X18" s="58"/>
      <c r="Y18" s="59"/>
      <c r="Z18" s="60"/>
      <c r="AA18" s="59"/>
      <c r="AB18" s="61"/>
    </row>
    <row r="19" spans="1:28" ht="16.5" customHeight="1" thickBot="1">
      <c r="A19" s="325" t="s">
        <v>167</v>
      </c>
      <c r="B19" s="326"/>
      <c r="C19" s="322"/>
      <c r="D19" s="322"/>
      <c r="E19" s="322"/>
      <c r="F19" s="322"/>
      <c r="G19" s="323"/>
      <c r="H19" s="324">
        <f>SUM(H6:H17)</f>
        <v>22.5</v>
      </c>
      <c r="I19" s="152"/>
      <c r="J19" s="77"/>
      <c r="K19" s="325" t="s">
        <v>167</v>
      </c>
      <c r="L19" s="326"/>
      <c r="M19" s="322"/>
      <c r="N19" s="322"/>
      <c r="O19" s="322"/>
      <c r="P19" s="322"/>
      <c r="Q19" s="323"/>
      <c r="R19" s="324">
        <f>SUM(R6:R17)</f>
        <v>12.913125000000001</v>
      </c>
      <c r="S19" s="96"/>
      <c r="T19" s="96"/>
      <c r="U19" s="325" t="s">
        <v>167</v>
      </c>
      <c r="V19" s="326"/>
      <c r="W19" s="322"/>
      <c r="X19" s="322"/>
      <c r="Y19" s="322"/>
      <c r="Z19" s="322"/>
      <c r="AA19" s="323"/>
      <c r="AB19" s="324">
        <f>SUM(AB6:AB17)</f>
        <v>15</v>
      </c>
    </row>
    <row r="20" spans="1:28" ht="16.5" thickTop="1">
      <c r="A20" s="55"/>
      <c r="B20" s="56"/>
      <c r="C20" s="57"/>
      <c r="D20" s="58"/>
      <c r="E20" s="59"/>
      <c r="F20" s="60"/>
      <c r="G20" s="59"/>
      <c r="H20" s="61"/>
      <c r="I20" s="62"/>
      <c r="J20" s="42"/>
      <c r="K20" s="55"/>
      <c r="L20" s="56"/>
      <c r="M20" s="57"/>
      <c r="N20" s="58"/>
      <c r="O20" s="59"/>
      <c r="P20" s="60"/>
      <c r="Q20" s="59"/>
      <c r="R20" s="61"/>
      <c r="S20" s="42"/>
      <c r="T20" s="42"/>
      <c r="U20" s="55"/>
      <c r="V20" s="56"/>
      <c r="W20" s="57"/>
      <c r="X20" s="58"/>
      <c r="Y20" s="59"/>
      <c r="Z20" s="60"/>
      <c r="AA20" s="59"/>
      <c r="AB20" s="61"/>
    </row>
    <row r="21" spans="1:28" ht="16.5" thickBot="1">
      <c r="A21" s="63"/>
      <c r="B21" s="64"/>
      <c r="C21" s="65"/>
      <c r="D21" s="66"/>
      <c r="E21" s="67"/>
      <c r="F21" s="68"/>
      <c r="G21" s="21"/>
      <c r="H21" s="61"/>
      <c r="I21" s="62"/>
      <c r="J21" s="42"/>
      <c r="K21" s="63"/>
      <c r="L21" s="64"/>
      <c r="M21" s="65"/>
      <c r="N21" s="66"/>
      <c r="O21" s="67"/>
      <c r="P21" s="68"/>
      <c r="Q21" s="21"/>
      <c r="R21" s="61"/>
      <c r="S21" s="42"/>
      <c r="T21" s="42"/>
      <c r="U21" s="63"/>
      <c r="V21" s="64"/>
      <c r="W21" s="65"/>
      <c r="X21" s="66"/>
      <c r="Y21" s="67"/>
      <c r="Z21" s="68"/>
      <c r="AA21" s="21"/>
      <c r="AB21" s="61"/>
    </row>
    <row r="22" spans="1:28" ht="16.5" thickBot="1">
      <c r="A22" s="883" t="s">
        <v>168</v>
      </c>
      <c r="B22" s="884"/>
      <c r="C22" s="884"/>
      <c r="D22" s="884"/>
      <c r="E22" s="884"/>
      <c r="F22" s="884"/>
      <c r="G22" s="884"/>
      <c r="H22" s="885"/>
      <c r="I22" s="78"/>
      <c r="J22" s="96"/>
      <c r="K22" s="883" t="s">
        <v>168</v>
      </c>
      <c r="L22" s="884"/>
      <c r="M22" s="884"/>
      <c r="N22" s="884"/>
      <c r="O22" s="884"/>
      <c r="P22" s="884"/>
      <c r="Q22" s="884"/>
      <c r="R22" s="885"/>
      <c r="S22" s="96"/>
      <c r="T22" s="96"/>
      <c r="U22" s="883" t="s">
        <v>168</v>
      </c>
      <c r="V22" s="884"/>
      <c r="W22" s="884"/>
      <c r="X22" s="884"/>
      <c r="Y22" s="884"/>
      <c r="Z22" s="884"/>
      <c r="AA22" s="884"/>
      <c r="AB22" s="885"/>
    </row>
    <row r="23" spans="1:28" ht="31.5">
      <c r="A23" s="136" t="s">
        <v>124</v>
      </c>
      <c r="B23" s="137" t="s">
        <v>229</v>
      </c>
      <c r="C23" s="138" t="s">
        <v>125</v>
      </c>
      <c r="D23" s="137" t="s">
        <v>126</v>
      </c>
      <c r="E23" s="138" t="s">
        <v>12</v>
      </c>
      <c r="F23" s="138" t="s">
        <v>127</v>
      </c>
      <c r="G23" s="137" t="s">
        <v>309</v>
      </c>
      <c r="H23" s="139" t="s">
        <v>128</v>
      </c>
      <c r="I23" s="140"/>
      <c r="J23" s="96"/>
      <c r="K23" s="136" t="s">
        <v>124</v>
      </c>
      <c r="L23" s="137" t="s">
        <v>229</v>
      </c>
      <c r="M23" s="138" t="s">
        <v>125</v>
      </c>
      <c r="N23" s="137" t="s">
        <v>126</v>
      </c>
      <c r="O23" s="138" t="s">
        <v>12</v>
      </c>
      <c r="P23" s="138" t="s">
        <v>127</v>
      </c>
      <c r="Q23" s="137" t="s">
        <v>309</v>
      </c>
      <c r="R23" s="153" t="s">
        <v>128</v>
      </c>
      <c r="S23" s="96"/>
      <c r="T23" s="96"/>
      <c r="U23" s="136" t="s">
        <v>124</v>
      </c>
      <c r="V23" s="137" t="s">
        <v>229</v>
      </c>
      <c r="W23" s="138" t="s">
        <v>125</v>
      </c>
      <c r="X23" s="137" t="s">
        <v>126</v>
      </c>
      <c r="Y23" s="138" t="s">
        <v>12</v>
      </c>
      <c r="Z23" s="138" t="s">
        <v>127</v>
      </c>
      <c r="AA23" s="137" t="s">
        <v>309</v>
      </c>
      <c r="AB23" s="139" t="s">
        <v>128</v>
      </c>
    </row>
    <row r="24" spans="1:28" ht="15.75">
      <c r="A24" s="141" t="s">
        <v>424</v>
      </c>
      <c r="B24" s="142"/>
      <c r="C24" s="33"/>
      <c r="D24" s="98" t="s">
        <v>153</v>
      </c>
      <c r="E24" s="164"/>
      <c r="F24" s="98" t="s">
        <v>153</v>
      </c>
      <c r="G24" s="54"/>
      <c r="H24" s="144"/>
      <c r="I24" s="145"/>
      <c r="J24" s="77"/>
      <c r="K24" s="141" t="s">
        <v>424</v>
      </c>
      <c r="L24" s="142"/>
      <c r="M24" s="33"/>
      <c r="N24" s="98" t="s">
        <v>153</v>
      </c>
      <c r="O24" s="164"/>
      <c r="P24" s="98" t="s">
        <v>153</v>
      </c>
      <c r="Q24" s="54"/>
      <c r="R24" s="144"/>
      <c r="S24" s="77"/>
      <c r="T24" s="77"/>
      <c r="U24" s="141" t="s">
        <v>424</v>
      </c>
      <c r="V24" s="142"/>
      <c r="W24" s="33"/>
      <c r="X24" s="98" t="s">
        <v>153</v>
      </c>
      <c r="Y24" s="164"/>
      <c r="Z24" s="98" t="s">
        <v>153</v>
      </c>
      <c r="AA24" s="54"/>
      <c r="AB24" s="144"/>
    </row>
    <row r="25" spans="1:28" ht="15.75">
      <c r="A25" s="450" t="s">
        <v>231</v>
      </c>
      <c r="B25" s="59">
        <f>VLOOKUP($A25,CornPostChemicals,6,FALSE)</f>
        <v>9</v>
      </c>
      <c r="C25" s="29" t="str">
        <f>VLOOKUP($A25,CornPostChemicals,4,FALSE)</f>
        <v>Gallon</v>
      </c>
      <c r="D25" s="451">
        <v>21</v>
      </c>
      <c r="E25" s="790">
        <f>VLOOKUP($A25,CornPostChemicals,3,FALSE)</f>
        <v>128</v>
      </c>
      <c r="F25" s="452">
        <v>32</v>
      </c>
      <c r="G25" s="59" t="str">
        <f>VLOOKUP($A25,CornPostChemicals,2,FALSE)</f>
        <v>oz</v>
      </c>
      <c r="H25" s="61">
        <f>F25/E25*D25</f>
        <v>5.25</v>
      </c>
      <c r="I25" s="31"/>
      <c r="J25" s="77"/>
      <c r="K25" s="450" t="s">
        <v>774</v>
      </c>
      <c r="L25" s="59" t="str">
        <f>VLOOKUP(K25,SoybeanPostChemicals,6,FALSE)</f>
        <v>10</v>
      </c>
      <c r="M25" s="29" t="str">
        <f>VLOOKUP(K25,SoybeanPostChemicals,4,FALSE)</f>
        <v>Gallon</v>
      </c>
      <c r="N25" s="451">
        <v>55.85</v>
      </c>
      <c r="O25" s="790">
        <f>VLOOKUP(K25,SoybeanPostChemicals,3,FALSE)</f>
        <v>128</v>
      </c>
      <c r="P25" s="452">
        <v>32</v>
      </c>
      <c r="Q25" s="59" t="str">
        <f>VLOOKUP(K25,SoybeanPostChemicals,2,FALSE)</f>
        <v>oz</v>
      </c>
      <c r="R25" s="61">
        <f>P25/O25*N25</f>
        <v>13.9625</v>
      </c>
      <c r="S25" s="77"/>
      <c r="T25" s="77"/>
      <c r="U25" s="450" t="s">
        <v>377</v>
      </c>
      <c r="V25" s="59" t="str">
        <f>VLOOKUP(U25,WheatChemicals,6,FALSE)</f>
        <v>2/2</v>
      </c>
      <c r="W25" s="29" t="str">
        <f>VLOOKUP(U25,WheatChemicals,4,FALSE)</f>
        <v>Pound</v>
      </c>
      <c r="X25" s="451">
        <v>225</v>
      </c>
      <c r="Y25" s="790">
        <f>VLOOKUP(U25,WheatChemicals,3,FALSE)</f>
        <v>16</v>
      </c>
      <c r="Z25" s="452">
        <v>0.75</v>
      </c>
      <c r="AA25" s="59" t="str">
        <f>VLOOKUP(U25,WheatChemicals,2,FALSE)</f>
        <v>oz</v>
      </c>
      <c r="AB25" s="61">
        <f t="shared" ref="AB25" si="6">Z25/Y25*X25</f>
        <v>10.546875</v>
      </c>
    </row>
    <row r="26" spans="1:28" ht="15.75">
      <c r="A26" s="450" t="s">
        <v>231</v>
      </c>
      <c r="B26" s="59">
        <f>VLOOKUP($A26,CornPostChemicals,6,FALSE)</f>
        <v>9</v>
      </c>
      <c r="C26" s="29" t="str">
        <f>VLOOKUP($A26,CornPostChemicals,4,FALSE)</f>
        <v>Gallon</v>
      </c>
      <c r="D26" s="451">
        <v>21</v>
      </c>
      <c r="E26" s="790">
        <f>VLOOKUP($A26,CornPostChemicals,3,FALSE)</f>
        <v>128</v>
      </c>
      <c r="F26" s="452">
        <v>32</v>
      </c>
      <c r="G26" s="59" t="str">
        <f>VLOOKUP($A26,CornPostChemicals,2,FALSE)</f>
        <v>oz</v>
      </c>
      <c r="H26" s="61">
        <f t="shared" ref="H26:H29" si="7">F26/E26*D26</f>
        <v>5.25</v>
      </c>
      <c r="I26" s="31"/>
      <c r="J26" s="77"/>
      <c r="K26" s="450" t="s">
        <v>231</v>
      </c>
      <c r="L26" s="59">
        <f>VLOOKUP(K26,SoybeanPostChemicals,6,FALSE)</f>
        <v>9</v>
      </c>
      <c r="M26" s="29" t="str">
        <f>VLOOKUP(K26,SoybeanPostChemicals,4,FALSE)</f>
        <v>Gallon</v>
      </c>
      <c r="N26" s="451">
        <v>21</v>
      </c>
      <c r="O26" s="790">
        <f>VLOOKUP(K26,SoybeanPostChemicals,3,FALSE)</f>
        <v>128</v>
      </c>
      <c r="P26" s="452">
        <v>32</v>
      </c>
      <c r="Q26" s="59" t="str">
        <f>VLOOKUP(K26,SoybeanPostChemicals,2,FALSE)</f>
        <v>oz</v>
      </c>
      <c r="R26" s="61">
        <f t="shared" ref="R26:R29" si="8">P26/O26*N26</f>
        <v>5.25</v>
      </c>
      <c r="S26" s="77"/>
      <c r="T26" s="77"/>
      <c r="U26" s="450" t="s">
        <v>13</v>
      </c>
      <c r="V26" s="59">
        <f>VLOOKUP(U26,WheatChemicals,6,FALSE)</f>
        <v>0</v>
      </c>
      <c r="W26" s="29" t="str">
        <f>VLOOKUP(U26,WheatChemicals,4,FALSE)</f>
        <v>None</v>
      </c>
      <c r="X26" s="451">
        <v>0</v>
      </c>
      <c r="Y26" s="790">
        <f>VLOOKUP(U26,WheatChemicals,3,FALSE)</f>
        <v>1</v>
      </c>
      <c r="Z26" s="452">
        <v>0</v>
      </c>
      <c r="AA26" s="59">
        <f>VLOOKUP(U26,WheatChemicals,2,FALSE)</f>
        <v>0</v>
      </c>
      <c r="AB26" s="61">
        <f>Z26/Y26*X26</f>
        <v>0</v>
      </c>
    </row>
    <row r="27" spans="1:28" ht="15.75">
      <c r="A27" s="450" t="s">
        <v>13</v>
      </c>
      <c r="B27" s="59">
        <f>VLOOKUP($A27,CornPostChemicals,6,FALSE)</f>
        <v>0</v>
      </c>
      <c r="C27" s="29" t="str">
        <f>VLOOKUP($A27,CornPostChemicals,4,FALSE)</f>
        <v>None</v>
      </c>
      <c r="D27" s="451">
        <v>0</v>
      </c>
      <c r="E27" s="790">
        <f>VLOOKUP($A27,CornPostChemicals,3,FALSE)</f>
        <v>1</v>
      </c>
      <c r="F27" s="452">
        <v>0</v>
      </c>
      <c r="G27" s="59">
        <f>VLOOKUP($A27,CornPostChemicals,2,FALSE)</f>
        <v>0</v>
      </c>
      <c r="H27" s="61">
        <f t="shared" si="7"/>
        <v>0</v>
      </c>
      <c r="I27" s="31"/>
      <c r="J27" s="77"/>
      <c r="K27" s="450" t="s">
        <v>13</v>
      </c>
      <c r="L27" s="59">
        <f>VLOOKUP(K27,SoybeanPostChemicals,6,FALSE)</f>
        <v>0</v>
      </c>
      <c r="M27" s="29" t="str">
        <f>VLOOKUP(K27,SoybeanPostChemicals,4,FALSE)</f>
        <v>None</v>
      </c>
      <c r="N27" s="451">
        <v>0</v>
      </c>
      <c r="O27" s="790">
        <f>VLOOKUP(K27,SoybeanPostChemicals,3,FALSE)</f>
        <v>1</v>
      </c>
      <c r="P27" s="452">
        <v>0</v>
      </c>
      <c r="Q27" s="59">
        <f>VLOOKUP(K27,SoybeanPostChemicals,2,FALSE)</f>
        <v>0</v>
      </c>
      <c r="R27" s="61">
        <f t="shared" si="8"/>
        <v>0</v>
      </c>
      <c r="S27" s="77"/>
      <c r="T27" s="77"/>
      <c r="U27" s="450" t="s">
        <v>13</v>
      </c>
      <c r="V27" s="59">
        <f>VLOOKUP(U27,WheatChemicals,6,FALSE)</f>
        <v>0</v>
      </c>
      <c r="W27" s="29" t="str">
        <f>VLOOKUP(U27,WheatChemicals,4,FALSE)</f>
        <v>None</v>
      </c>
      <c r="X27" s="451">
        <v>0</v>
      </c>
      <c r="Y27" s="790">
        <f>VLOOKUP(U27,WheatChemicals,3,FALSE)</f>
        <v>1</v>
      </c>
      <c r="Z27" s="452">
        <v>0</v>
      </c>
      <c r="AA27" s="59">
        <f>VLOOKUP(U27,WheatChemicals,2,FALSE)</f>
        <v>0</v>
      </c>
      <c r="AB27" s="61">
        <f t="shared" ref="AB27:AB29" si="9">Z27/Y27*X27</f>
        <v>0</v>
      </c>
    </row>
    <row r="28" spans="1:28" ht="15.75">
      <c r="A28" s="450" t="s">
        <v>13</v>
      </c>
      <c r="B28" s="59">
        <f>VLOOKUP($A28,CornPostChemicals,6,FALSE)</f>
        <v>0</v>
      </c>
      <c r="C28" s="29" t="str">
        <f>VLOOKUP($A28,CornPostChemicals,4,FALSE)</f>
        <v>None</v>
      </c>
      <c r="D28" s="451">
        <v>0</v>
      </c>
      <c r="E28" s="790">
        <f>VLOOKUP($A28,CornPostChemicals,3,FALSE)</f>
        <v>1</v>
      </c>
      <c r="F28" s="452">
        <v>0</v>
      </c>
      <c r="G28" s="59">
        <f>VLOOKUP($A28,CornPostChemicals,2,FALSE)</f>
        <v>0</v>
      </c>
      <c r="H28" s="61">
        <f t="shared" si="7"/>
        <v>0</v>
      </c>
      <c r="I28" s="31"/>
      <c r="J28" s="77"/>
      <c r="K28" s="450" t="s">
        <v>13</v>
      </c>
      <c r="L28" s="59">
        <f>VLOOKUP(K28,SoybeanPostChemicals,6,FALSE)</f>
        <v>0</v>
      </c>
      <c r="M28" s="29" t="str">
        <f>VLOOKUP(K28,SoybeanPostChemicals,4,FALSE)</f>
        <v>None</v>
      </c>
      <c r="N28" s="451">
        <v>0</v>
      </c>
      <c r="O28" s="790">
        <f>VLOOKUP(K28,SoybeanPostChemicals,3,FALSE)</f>
        <v>1</v>
      </c>
      <c r="P28" s="452">
        <v>0</v>
      </c>
      <c r="Q28" s="59">
        <f>VLOOKUP(K28,SoybeanPostChemicals,2,FALSE)</f>
        <v>0</v>
      </c>
      <c r="R28" s="61">
        <f t="shared" si="8"/>
        <v>0</v>
      </c>
      <c r="S28" s="77"/>
      <c r="T28" s="77"/>
      <c r="U28" s="450" t="s">
        <v>13</v>
      </c>
      <c r="V28" s="59">
        <f>VLOOKUP(U28,WheatChemicals,6,FALSE)</f>
        <v>0</v>
      </c>
      <c r="W28" s="29" t="str">
        <f>VLOOKUP(U28,WheatChemicals,4,FALSE)</f>
        <v>None</v>
      </c>
      <c r="X28" s="451">
        <v>0</v>
      </c>
      <c r="Y28" s="790">
        <f>VLOOKUP(U28,WheatChemicals,3,FALSE)</f>
        <v>1</v>
      </c>
      <c r="Z28" s="452">
        <v>0</v>
      </c>
      <c r="AA28" s="59">
        <f>VLOOKUP(U28,WheatChemicals,2,FALSE)</f>
        <v>0</v>
      </c>
      <c r="AB28" s="61">
        <f t="shared" si="9"/>
        <v>0</v>
      </c>
    </row>
    <row r="29" spans="1:28" ht="15.75">
      <c r="A29" s="450" t="s">
        <v>13</v>
      </c>
      <c r="B29" s="59">
        <f>VLOOKUP($A29,CornPostChemicals,6,FALSE)</f>
        <v>0</v>
      </c>
      <c r="C29" s="29" t="str">
        <f>VLOOKUP($A29,CornPostChemicals,4,FALSE)</f>
        <v>None</v>
      </c>
      <c r="D29" s="451">
        <v>0</v>
      </c>
      <c r="E29" s="790">
        <f>VLOOKUP($A29,CornPostChemicals,3,FALSE)</f>
        <v>1</v>
      </c>
      <c r="F29" s="452">
        <v>0</v>
      </c>
      <c r="G29" s="59">
        <f>VLOOKUP($A29,CornPostChemicals,2,FALSE)</f>
        <v>0</v>
      </c>
      <c r="H29" s="61">
        <f t="shared" si="7"/>
        <v>0</v>
      </c>
      <c r="I29" s="31"/>
      <c r="J29" s="77"/>
      <c r="K29" s="450" t="s">
        <v>13</v>
      </c>
      <c r="L29" s="59">
        <f>VLOOKUP(K29,SoybeanPostChemicals,6,FALSE)</f>
        <v>0</v>
      </c>
      <c r="M29" s="29" t="str">
        <f>VLOOKUP(K29,SoybeanPostChemicals,4,FALSE)</f>
        <v>None</v>
      </c>
      <c r="N29" s="451">
        <v>0</v>
      </c>
      <c r="O29" s="790">
        <f>VLOOKUP(K29,SoybeanPostChemicals,3,FALSE)</f>
        <v>1</v>
      </c>
      <c r="P29" s="452">
        <v>0</v>
      </c>
      <c r="Q29" s="59">
        <f>VLOOKUP(K29,SoybeanPostChemicals,2,FALSE)</f>
        <v>0</v>
      </c>
      <c r="R29" s="61">
        <f t="shared" si="8"/>
        <v>0</v>
      </c>
      <c r="S29" s="77"/>
      <c r="T29" s="77"/>
      <c r="U29" s="450" t="s">
        <v>13</v>
      </c>
      <c r="V29" s="59">
        <f>VLOOKUP(U29,WheatChemicals,6,FALSE)</f>
        <v>0</v>
      </c>
      <c r="W29" s="29" t="str">
        <f>VLOOKUP(U29,WheatChemicals,4,FALSE)</f>
        <v>None</v>
      </c>
      <c r="X29" s="451">
        <v>0</v>
      </c>
      <c r="Y29" s="790">
        <f>VLOOKUP(U29,WheatChemicals,3,FALSE)</f>
        <v>1</v>
      </c>
      <c r="Z29" s="452">
        <v>0</v>
      </c>
      <c r="AA29" s="59">
        <f>VLOOKUP(U29,WheatChemicals,2,FALSE)</f>
        <v>0</v>
      </c>
      <c r="AB29" s="61">
        <f t="shared" si="9"/>
        <v>0</v>
      </c>
    </row>
    <row r="30" spans="1:28" ht="15.75">
      <c r="A30" s="63"/>
      <c r="B30" s="64"/>
      <c r="C30" s="65"/>
      <c r="D30" s="147"/>
      <c r="E30" s="127"/>
      <c r="F30" s="148"/>
      <c r="G30" s="21"/>
      <c r="H30" s="61"/>
      <c r="I30" s="31"/>
      <c r="J30" s="77"/>
      <c r="K30" s="63"/>
      <c r="L30" s="64"/>
      <c r="M30" s="65"/>
      <c r="N30" s="147"/>
      <c r="O30" s="127"/>
      <c r="P30" s="148"/>
      <c r="Q30" s="21"/>
      <c r="R30" s="61"/>
      <c r="S30" s="77"/>
      <c r="T30" s="77"/>
      <c r="U30" s="63"/>
      <c r="V30" s="64"/>
      <c r="W30" s="65"/>
      <c r="X30" s="147"/>
      <c r="Y30" s="149"/>
      <c r="Z30" s="148"/>
      <c r="AA30" s="21"/>
      <c r="AB30" s="61"/>
    </row>
    <row r="31" spans="1:28" ht="15.75">
      <c r="A31" s="63"/>
      <c r="B31" s="64"/>
      <c r="C31" s="65"/>
      <c r="D31" s="147"/>
      <c r="E31" s="149"/>
      <c r="F31" s="148"/>
      <c r="G31" s="21"/>
      <c r="H31" s="61"/>
      <c r="I31" s="31"/>
      <c r="J31" s="77"/>
      <c r="K31" s="63"/>
      <c r="L31" s="64"/>
      <c r="M31" s="65"/>
      <c r="N31" s="147"/>
      <c r="O31" s="149"/>
      <c r="P31" s="148"/>
      <c r="Q31" s="21"/>
      <c r="R31" s="61"/>
      <c r="S31" s="77"/>
      <c r="T31" s="77"/>
      <c r="U31" s="63"/>
      <c r="V31" s="64"/>
      <c r="W31" s="65"/>
      <c r="X31" s="147"/>
      <c r="Y31" s="149"/>
      <c r="Z31" s="148"/>
      <c r="AA31" s="21"/>
      <c r="AB31" s="61"/>
    </row>
    <row r="32" spans="1:28" ht="15.75">
      <c r="A32" s="150" t="s">
        <v>425</v>
      </c>
      <c r="B32" s="142"/>
      <c r="C32" s="33"/>
      <c r="D32" s="98" t="s">
        <v>153</v>
      </c>
      <c r="E32" s="164"/>
      <c r="F32" s="98" t="s">
        <v>153</v>
      </c>
      <c r="G32" s="54"/>
      <c r="H32" s="144"/>
      <c r="I32" s="145"/>
      <c r="J32" s="77"/>
      <c r="K32" s="150" t="s">
        <v>425</v>
      </c>
      <c r="L32" s="142"/>
      <c r="M32" s="33"/>
      <c r="N32" s="98" t="s">
        <v>153</v>
      </c>
      <c r="O32" s="164"/>
      <c r="P32" s="98" t="s">
        <v>153</v>
      </c>
      <c r="Q32" s="25"/>
      <c r="R32" s="154"/>
      <c r="S32" s="77"/>
      <c r="T32" s="77"/>
      <c r="U32" s="150" t="s">
        <v>425</v>
      </c>
      <c r="V32" s="142"/>
      <c r="W32" s="33"/>
      <c r="X32" s="98" t="s">
        <v>153</v>
      </c>
      <c r="Y32" s="164"/>
      <c r="Z32" s="98" t="s">
        <v>153</v>
      </c>
      <c r="AA32" s="54"/>
      <c r="AB32" s="144"/>
    </row>
    <row r="33" spans="1:28" ht="15.75">
      <c r="A33" s="450" t="s">
        <v>160</v>
      </c>
      <c r="B33" s="151"/>
      <c r="C33" s="29" t="str">
        <f>VLOOKUP($A33,CornAdjuvants,4,FALSE)</f>
        <v>Gallon</v>
      </c>
      <c r="D33" s="451">
        <v>16.8</v>
      </c>
      <c r="E33" s="790">
        <f>VLOOKUP($A33,CornAdjuvants,3,FALSE)</f>
        <v>8</v>
      </c>
      <c r="F33" s="452">
        <v>0.8</v>
      </c>
      <c r="G33" s="59" t="str">
        <f>VLOOKUP($A33,CornAdjuvants,2,FALSE)</f>
        <v>pt</v>
      </c>
      <c r="H33" s="61">
        <f>F33/E33*D33</f>
        <v>1.6800000000000002</v>
      </c>
      <c r="I33" s="31"/>
      <c r="J33" s="77"/>
      <c r="K33" s="450" t="s">
        <v>160</v>
      </c>
      <c r="L33" s="151"/>
      <c r="M33" s="29" t="str">
        <f>VLOOKUP($K33,CornAdjuvants,4,FALSE)</f>
        <v>Gallon</v>
      </c>
      <c r="N33" s="451">
        <v>16.8</v>
      </c>
      <c r="O33" s="790">
        <f>VLOOKUP($K33,CornAdjuvants,3,FALSE)</f>
        <v>8</v>
      </c>
      <c r="P33" s="452">
        <v>0.8</v>
      </c>
      <c r="Q33" s="59" t="str">
        <f>VLOOKUP($K33,CornAdjuvants,2,FALSE)</f>
        <v>pt</v>
      </c>
      <c r="R33" s="30">
        <f>P33/O33*N33</f>
        <v>1.6800000000000002</v>
      </c>
      <c r="S33" s="77"/>
      <c r="T33" s="77"/>
      <c r="U33" s="450" t="s">
        <v>13</v>
      </c>
      <c r="V33" s="151"/>
      <c r="W33" s="29" t="str">
        <f>VLOOKUP(U33,CornAdjuvants,4,FALSE)</f>
        <v>None</v>
      </c>
      <c r="X33" s="451">
        <v>0</v>
      </c>
      <c r="Y33" s="790">
        <f>VLOOKUP(U33,CornAdjuvants,3,FALSE)</f>
        <v>1</v>
      </c>
      <c r="Z33" s="452">
        <v>0</v>
      </c>
      <c r="AA33" s="59">
        <f>VLOOKUP(U33,CornAdjuvants,2,FALSE)</f>
        <v>0</v>
      </c>
      <c r="AB33" s="61">
        <f>Z33/Y33*X33</f>
        <v>0</v>
      </c>
    </row>
    <row r="34" spans="1:28" ht="15.75">
      <c r="A34" s="450" t="s">
        <v>160</v>
      </c>
      <c r="B34" s="151"/>
      <c r="C34" s="29" t="str">
        <f>VLOOKUP($A34,CornAdjuvants,4,FALSE)</f>
        <v>Gallon</v>
      </c>
      <c r="D34" s="451">
        <v>16.8</v>
      </c>
      <c r="E34" s="790">
        <f>VLOOKUP($A34,CornAdjuvants,3,FALSE)</f>
        <v>8</v>
      </c>
      <c r="F34" s="452">
        <v>0.8</v>
      </c>
      <c r="G34" s="59" t="str">
        <f>VLOOKUP($A34,CornAdjuvants,2,FALSE)</f>
        <v>pt</v>
      </c>
      <c r="H34" s="61">
        <f t="shared" ref="H34:H37" si="10">F34/E34*D34</f>
        <v>1.6800000000000002</v>
      </c>
      <c r="I34" s="31"/>
      <c r="J34" s="77"/>
      <c r="K34" s="450" t="s">
        <v>163</v>
      </c>
      <c r="L34" s="151"/>
      <c r="M34" s="29" t="str">
        <f>VLOOKUP($K34,CornAdjuvants,4,FALSE)</f>
        <v>Gallon</v>
      </c>
      <c r="N34" s="451">
        <v>20</v>
      </c>
      <c r="O34" s="790">
        <f>VLOOKUP($K34,CornAdjuvants,3,FALSE)</f>
        <v>8</v>
      </c>
      <c r="P34" s="452">
        <v>0.4</v>
      </c>
      <c r="Q34" s="59" t="str">
        <f>VLOOKUP($K34,CornAdjuvants,2,FALSE)</f>
        <v>pt</v>
      </c>
      <c r="R34" s="30">
        <f t="shared" ref="R34:R37" si="11">P34/O34*N34</f>
        <v>1</v>
      </c>
      <c r="S34" s="77"/>
      <c r="T34" s="77"/>
      <c r="U34" s="450" t="s">
        <v>13</v>
      </c>
      <c r="V34" s="151"/>
      <c r="W34" s="29" t="str">
        <f>VLOOKUP(U34,CornAdjuvants,4,FALSE)</f>
        <v>None</v>
      </c>
      <c r="X34" s="451">
        <v>0</v>
      </c>
      <c r="Y34" s="790">
        <f>VLOOKUP(U34,CornAdjuvants,3,FALSE)</f>
        <v>1</v>
      </c>
      <c r="Z34" s="452">
        <v>0</v>
      </c>
      <c r="AA34" s="59">
        <f>VLOOKUP(U34,CornAdjuvants,2,FALSE)</f>
        <v>0</v>
      </c>
      <c r="AB34" s="61">
        <f t="shared" ref="AB34:AB37" si="12">Z34/Y34*X34</f>
        <v>0</v>
      </c>
    </row>
    <row r="35" spans="1:28" ht="15.75">
      <c r="A35" s="450" t="s">
        <v>13</v>
      </c>
      <c r="B35" s="151"/>
      <c r="C35" s="29" t="str">
        <f>VLOOKUP($A35,CornAdjuvants,4,FALSE)</f>
        <v>None</v>
      </c>
      <c r="D35" s="451">
        <v>0</v>
      </c>
      <c r="E35" s="790">
        <f>VLOOKUP($A35,CornAdjuvants,3,FALSE)</f>
        <v>1</v>
      </c>
      <c r="F35" s="452">
        <v>0</v>
      </c>
      <c r="G35" s="59">
        <f>VLOOKUP($A35,CornAdjuvants,2,FALSE)</f>
        <v>0</v>
      </c>
      <c r="H35" s="61">
        <f t="shared" si="10"/>
        <v>0</v>
      </c>
      <c r="I35" s="31"/>
      <c r="J35" s="77"/>
      <c r="K35" s="450" t="s">
        <v>160</v>
      </c>
      <c r="L35" s="151"/>
      <c r="M35" s="29" t="str">
        <f>VLOOKUP($K35,CornAdjuvants,4,FALSE)</f>
        <v>Gallon</v>
      </c>
      <c r="N35" s="451">
        <v>16.8</v>
      </c>
      <c r="O35" s="790">
        <f>VLOOKUP($K35,CornAdjuvants,3,FALSE)</f>
        <v>8</v>
      </c>
      <c r="P35" s="452">
        <v>0.8</v>
      </c>
      <c r="Q35" s="59" t="str">
        <f>VLOOKUP($K35,CornAdjuvants,2,FALSE)</f>
        <v>pt</v>
      </c>
      <c r="R35" s="30">
        <f>P35/O35*N35</f>
        <v>1.6800000000000002</v>
      </c>
      <c r="S35" s="77"/>
      <c r="T35" s="77"/>
      <c r="U35" s="450" t="s">
        <v>13</v>
      </c>
      <c r="V35" s="151"/>
      <c r="W35" s="29" t="str">
        <f>VLOOKUP(U35,CornAdjuvants,4,FALSE)</f>
        <v>None</v>
      </c>
      <c r="X35" s="451">
        <v>0</v>
      </c>
      <c r="Y35" s="790">
        <f>VLOOKUP(U35,CornAdjuvants,3,FALSE)</f>
        <v>1</v>
      </c>
      <c r="Z35" s="452">
        <v>0</v>
      </c>
      <c r="AA35" s="59">
        <f>VLOOKUP(U35,CornAdjuvants,2,FALSE)</f>
        <v>0</v>
      </c>
      <c r="AB35" s="61">
        <f t="shared" si="12"/>
        <v>0</v>
      </c>
    </row>
    <row r="36" spans="1:28" ht="15.75">
      <c r="A36" s="450" t="s">
        <v>13</v>
      </c>
      <c r="B36" s="151"/>
      <c r="C36" s="29" t="str">
        <f>VLOOKUP($A36,CornAdjuvants,4,FALSE)</f>
        <v>None</v>
      </c>
      <c r="D36" s="451">
        <v>0</v>
      </c>
      <c r="E36" s="790">
        <f>VLOOKUP($A36,CornAdjuvants,3,FALSE)</f>
        <v>1</v>
      </c>
      <c r="F36" s="452">
        <v>0</v>
      </c>
      <c r="G36" s="59">
        <f>VLOOKUP($A36,CornAdjuvants,2,FALSE)</f>
        <v>0</v>
      </c>
      <c r="H36" s="61">
        <f t="shared" si="10"/>
        <v>0</v>
      </c>
      <c r="I36" s="31"/>
      <c r="J36" s="382" t="s">
        <v>439</v>
      </c>
      <c r="K36" s="450" t="s">
        <v>13</v>
      </c>
      <c r="L36" s="151"/>
      <c r="M36" s="29" t="str">
        <f>VLOOKUP($K36,CornAdjuvants,4,FALSE)</f>
        <v>None</v>
      </c>
      <c r="N36" s="451">
        <v>0</v>
      </c>
      <c r="O36" s="790">
        <f>VLOOKUP($K36,CornAdjuvants,3,FALSE)</f>
        <v>1</v>
      </c>
      <c r="P36" s="452">
        <v>0</v>
      </c>
      <c r="Q36" s="59">
        <f>VLOOKUP($K36,CornAdjuvants,2,FALSE)</f>
        <v>0</v>
      </c>
      <c r="R36" s="30">
        <f t="shared" si="11"/>
        <v>0</v>
      </c>
      <c r="S36" s="77"/>
      <c r="T36" s="382" t="s">
        <v>439</v>
      </c>
      <c r="U36" s="450" t="s">
        <v>13</v>
      </c>
      <c r="V36" s="151"/>
      <c r="W36" s="29" t="str">
        <f>VLOOKUP(U36,CornAdjuvants,4,FALSE)</f>
        <v>None</v>
      </c>
      <c r="X36" s="451">
        <v>0</v>
      </c>
      <c r="Y36" s="790">
        <f>VLOOKUP(U36,CornAdjuvants,3,FALSE)</f>
        <v>1</v>
      </c>
      <c r="Z36" s="452">
        <v>0</v>
      </c>
      <c r="AA36" s="59">
        <f>VLOOKUP(U36,CornAdjuvants,2,FALSE)</f>
        <v>0</v>
      </c>
      <c r="AB36" s="61">
        <f t="shared" si="12"/>
        <v>0</v>
      </c>
    </row>
    <row r="37" spans="1:28" ht="15.75">
      <c r="A37" s="450" t="s">
        <v>13</v>
      </c>
      <c r="B37" s="151"/>
      <c r="C37" s="29" t="str">
        <f>VLOOKUP($A37,CornAdjuvants,4,FALSE)</f>
        <v>None</v>
      </c>
      <c r="D37" s="451">
        <v>0</v>
      </c>
      <c r="E37" s="790">
        <f>VLOOKUP($A37,CornAdjuvants,3,FALSE)</f>
        <v>1</v>
      </c>
      <c r="F37" s="452">
        <v>0</v>
      </c>
      <c r="G37" s="59">
        <f>VLOOKUP($A37,CornAdjuvants,2,FALSE)</f>
        <v>0</v>
      </c>
      <c r="H37" s="61">
        <f t="shared" si="10"/>
        <v>0</v>
      </c>
      <c r="I37" s="31"/>
      <c r="J37" s="382" t="s">
        <v>440</v>
      </c>
      <c r="K37" s="450" t="s">
        <v>13</v>
      </c>
      <c r="L37" s="151"/>
      <c r="M37" s="29" t="str">
        <f>VLOOKUP($K37,CornAdjuvants,4,FALSE)</f>
        <v>None</v>
      </c>
      <c r="N37" s="451">
        <v>0</v>
      </c>
      <c r="O37" s="790">
        <f>VLOOKUP($K37,CornAdjuvants,3,FALSE)</f>
        <v>1</v>
      </c>
      <c r="P37" s="452">
        <v>0</v>
      </c>
      <c r="Q37" s="59">
        <f>VLOOKUP($K37,CornAdjuvants,2,FALSE)</f>
        <v>0</v>
      </c>
      <c r="R37" s="30">
        <f t="shared" si="11"/>
        <v>0</v>
      </c>
      <c r="S37" s="77"/>
      <c r="T37" s="382" t="s">
        <v>440</v>
      </c>
      <c r="U37" s="450" t="s">
        <v>13</v>
      </c>
      <c r="V37" s="151"/>
      <c r="W37" s="29" t="str">
        <f>VLOOKUP(U37,CornAdjuvants,4,FALSE)</f>
        <v>None</v>
      </c>
      <c r="X37" s="451">
        <v>0</v>
      </c>
      <c r="Y37" s="790">
        <f>VLOOKUP(U37,CornAdjuvants,3,FALSE)</f>
        <v>1</v>
      </c>
      <c r="Z37" s="452">
        <v>0</v>
      </c>
      <c r="AA37" s="59">
        <f>VLOOKUP(U37,CornAdjuvants,2,FALSE)</f>
        <v>0</v>
      </c>
      <c r="AB37" s="61">
        <f t="shared" si="12"/>
        <v>0</v>
      </c>
    </row>
    <row r="38" spans="1:28" ht="15.75">
      <c r="A38" s="63"/>
      <c r="B38" s="151"/>
      <c r="C38" s="57"/>
      <c r="D38" s="58"/>
      <c r="E38" s="59"/>
      <c r="F38" s="60"/>
      <c r="G38" s="59"/>
      <c r="H38" s="61"/>
      <c r="I38" s="62"/>
      <c r="J38" s="882" t="s">
        <v>438</v>
      </c>
      <c r="K38" s="63"/>
      <c r="L38" s="151"/>
      <c r="M38" s="57"/>
      <c r="N38" s="58"/>
      <c r="O38" s="59"/>
      <c r="P38" s="60"/>
      <c r="Q38" s="59"/>
      <c r="R38" s="61"/>
      <c r="S38" s="96"/>
      <c r="T38" s="882" t="s">
        <v>438</v>
      </c>
      <c r="U38" s="63"/>
      <c r="V38" s="151"/>
      <c r="W38" s="57"/>
      <c r="X38" s="58"/>
      <c r="Y38" s="59"/>
      <c r="Z38" s="60"/>
      <c r="AA38" s="59"/>
      <c r="AB38" s="61"/>
    </row>
    <row r="39" spans="1:28" ht="15.75">
      <c r="A39" s="63"/>
      <c r="B39" s="56"/>
      <c r="C39" s="57"/>
      <c r="D39" s="58"/>
      <c r="E39" s="59"/>
      <c r="F39" s="60"/>
      <c r="G39" s="59"/>
      <c r="H39" s="61"/>
      <c r="I39" s="62"/>
      <c r="J39" s="882"/>
      <c r="K39" s="63"/>
      <c r="L39" s="56"/>
      <c r="M39" s="57"/>
      <c r="N39" s="58"/>
      <c r="O39" s="59"/>
      <c r="P39" s="60"/>
      <c r="Q39" s="59"/>
      <c r="R39" s="61"/>
      <c r="S39" s="96"/>
      <c r="T39" s="882"/>
      <c r="U39" s="63"/>
      <c r="V39" s="56"/>
      <c r="W39" s="57"/>
      <c r="X39" s="58"/>
      <c r="Y39" s="59"/>
      <c r="Z39" s="60"/>
      <c r="AA39" s="59"/>
      <c r="AB39" s="61"/>
    </row>
    <row r="40" spans="1:28" ht="16.5" thickBot="1">
      <c r="A40" s="325" t="s">
        <v>175</v>
      </c>
      <c r="B40" s="326"/>
      <c r="C40" s="322"/>
      <c r="D40" s="322"/>
      <c r="E40" s="322"/>
      <c r="F40" s="322"/>
      <c r="G40" s="323"/>
      <c r="H40" s="324">
        <f>SUM(H25:H37)</f>
        <v>13.86</v>
      </c>
      <c r="I40" s="156"/>
      <c r="J40" s="96"/>
      <c r="K40" s="325" t="s">
        <v>175</v>
      </c>
      <c r="L40" s="326"/>
      <c r="M40" s="322"/>
      <c r="N40" s="322"/>
      <c r="O40" s="322"/>
      <c r="P40" s="322"/>
      <c r="Q40" s="323"/>
      <c r="R40" s="324">
        <f>SUM(R25:R37)</f>
        <v>23.572499999999998</v>
      </c>
      <c r="S40" s="96"/>
      <c r="T40" s="96"/>
      <c r="U40" s="325" t="s">
        <v>175</v>
      </c>
      <c r="V40" s="326"/>
      <c r="W40" s="322"/>
      <c r="X40" s="322"/>
      <c r="Y40" s="322"/>
      <c r="Z40" s="322"/>
      <c r="AA40" s="323"/>
      <c r="AB40" s="324">
        <f>SUM(AB25:AB37)</f>
        <v>10.546875</v>
      </c>
    </row>
    <row r="41" spans="1:28" ht="16.5" thickTop="1">
      <c r="A41" s="130"/>
      <c r="B41" s="157"/>
      <c r="C41" s="158"/>
      <c r="D41" s="158"/>
      <c r="E41" s="158"/>
      <c r="F41" s="158"/>
      <c r="G41" s="159"/>
      <c r="H41" s="160"/>
      <c r="I41" s="156"/>
      <c r="J41" s="96"/>
      <c r="K41" s="130"/>
      <c r="L41" s="157"/>
      <c r="M41" s="158"/>
      <c r="N41" s="158"/>
      <c r="O41" s="158"/>
      <c r="P41" s="158"/>
      <c r="Q41" s="159"/>
      <c r="R41" s="160"/>
      <c r="S41" s="96"/>
      <c r="T41" s="96"/>
      <c r="U41" s="130"/>
      <c r="V41" s="157"/>
      <c r="W41" s="158"/>
      <c r="X41" s="158"/>
      <c r="Y41" s="158"/>
      <c r="Z41" s="158"/>
      <c r="AA41" s="159"/>
      <c r="AB41" s="160"/>
    </row>
    <row r="42" spans="1:28" ht="16.5" thickBot="1">
      <c r="A42" s="55"/>
      <c r="B42" s="56"/>
      <c r="C42" s="57"/>
      <c r="D42" s="58"/>
      <c r="E42" s="59"/>
      <c r="F42" s="60"/>
      <c r="G42" s="59"/>
      <c r="H42" s="61"/>
      <c r="I42" s="62"/>
      <c r="J42" s="96"/>
      <c r="K42" s="55"/>
      <c r="L42" s="56"/>
      <c r="M42" s="57"/>
      <c r="N42" s="58"/>
      <c r="O42" s="59"/>
      <c r="P42" s="60"/>
      <c r="Q42" s="59"/>
      <c r="R42" s="61"/>
      <c r="S42" s="96"/>
      <c r="T42" s="96"/>
      <c r="U42" s="55"/>
      <c r="V42" s="56"/>
      <c r="W42" s="57"/>
      <c r="X42" s="58"/>
      <c r="Y42" s="59"/>
      <c r="Z42" s="60"/>
      <c r="AA42" s="59"/>
      <c r="AB42" s="61"/>
    </row>
    <row r="43" spans="1:28" ht="16.5" thickBot="1">
      <c r="A43" s="883" t="s">
        <v>310</v>
      </c>
      <c r="B43" s="884"/>
      <c r="C43" s="884"/>
      <c r="D43" s="884"/>
      <c r="E43" s="884"/>
      <c r="F43" s="884"/>
      <c r="G43" s="884"/>
      <c r="H43" s="885"/>
      <c r="I43" s="78"/>
      <c r="J43" s="96"/>
      <c r="K43" s="883" t="s">
        <v>310</v>
      </c>
      <c r="L43" s="884"/>
      <c r="M43" s="884"/>
      <c r="N43" s="884"/>
      <c r="O43" s="884"/>
      <c r="P43" s="884"/>
      <c r="Q43" s="884"/>
      <c r="R43" s="885"/>
      <c r="S43" s="96"/>
      <c r="T43" s="96"/>
      <c r="U43" s="883" t="s">
        <v>310</v>
      </c>
      <c r="V43" s="884"/>
      <c r="W43" s="884"/>
      <c r="X43" s="884"/>
      <c r="Y43" s="884"/>
      <c r="Z43" s="884"/>
      <c r="AA43" s="884"/>
      <c r="AB43" s="885"/>
    </row>
    <row r="44" spans="1:28" ht="31.5">
      <c r="A44" s="136" t="s">
        <v>124</v>
      </c>
      <c r="B44" s="137" t="s">
        <v>229</v>
      </c>
      <c r="C44" s="138" t="s">
        <v>125</v>
      </c>
      <c r="D44" s="137" t="s">
        <v>126</v>
      </c>
      <c r="E44" s="138" t="s">
        <v>12</v>
      </c>
      <c r="F44" s="138" t="s">
        <v>127</v>
      </c>
      <c r="G44" s="137" t="s">
        <v>309</v>
      </c>
      <c r="H44" s="139" t="s">
        <v>128</v>
      </c>
      <c r="I44" s="140"/>
      <c r="J44" s="96"/>
      <c r="K44" s="136" t="s">
        <v>124</v>
      </c>
      <c r="L44" s="137" t="s">
        <v>229</v>
      </c>
      <c r="M44" s="138" t="s">
        <v>125</v>
      </c>
      <c r="N44" s="137" t="s">
        <v>126</v>
      </c>
      <c r="O44" s="138" t="s">
        <v>12</v>
      </c>
      <c r="P44" s="138" t="s">
        <v>127</v>
      </c>
      <c r="Q44" s="137" t="s">
        <v>309</v>
      </c>
      <c r="R44" s="139" t="s">
        <v>128</v>
      </c>
      <c r="S44" s="96"/>
      <c r="T44" s="96"/>
      <c r="U44" s="136" t="s">
        <v>124</v>
      </c>
      <c r="V44" s="137" t="s">
        <v>229</v>
      </c>
      <c r="W44" s="138" t="s">
        <v>125</v>
      </c>
      <c r="X44" s="137" t="s">
        <v>126</v>
      </c>
      <c r="Y44" s="138" t="s">
        <v>12</v>
      </c>
      <c r="Z44" s="138" t="s">
        <v>127</v>
      </c>
      <c r="AA44" s="137" t="s">
        <v>309</v>
      </c>
      <c r="AB44" s="139" t="s">
        <v>128</v>
      </c>
    </row>
    <row r="45" spans="1:28" ht="15.75">
      <c r="A45" s="141" t="s">
        <v>426</v>
      </c>
      <c r="B45" s="142"/>
      <c r="C45" s="74"/>
      <c r="D45" s="99" t="s">
        <v>153</v>
      </c>
      <c r="E45" s="165"/>
      <c r="F45" s="99" t="s">
        <v>153</v>
      </c>
      <c r="G45" s="54"/>
      <c r="H45" s="144"/>
      <c r="I45" s="140"/>
      <c r="J45" s="96"/>
      <c r="K45" s="141" t="s">
        <v>426</v>
      </c>
      <c r="L45" s="142"/>
      <c r="M45" s="74"/>
      <c r="N45" s="99" t="s">
        <v>153</v>
      </c>
      <c r="O45" s="165"/>
      <c r="P45" s="99" t="s">
        <v>153</v>
      </c>
      <c r="Q45" s="54"/>
      <c r="R45" s="144"/>
      <c r="S45" s="96"/>
      <c r="T45" s="96"/>
      <c r="U45" s="141" t="s">
        <v>426</v>
      </c>
      <c r="V45" s="142"/>
      <c r="W45" s="74"/>
      <c r="X45" s="99" t="s">
        <v>153</v>
      </c>
      <c r="Y45" s="165"/>
      <c r="Z45" s="99" t="s">
        <v>153</v>
      </c>
      <c r="AA45" s="54"/>
      <c r="AB45" s="144"/>
    </row>
    <row r="46" spans="1:28" ht="15.75">
      <c r="A46" s="450" t="s">
        <v>469</v>
      </c>
      <c r="B46" s="142"/>
      <c r="C46" s="29" t="str">
        <f>VLOOKUP($A46,CornFungicides,4,FALSE)</f>
        <v>Gallons</v>
      </c>
      <c r="D46" s="451">
        <v>134</v>
      </c>
      <c r="E46" s="790">
        <f>VLOOKUP($A46,CornFungicides,3,FALSE)</f>
        <v>128</v>
      </c>
      <c r="F46" s="452">
        <v>14.4</v>
      </c>
      <c r="G46" s="59" t="str">
        <f>VLOOKUP($A46,CornFungicides,2,FALSE)</f>
        <v>oz</v>
      </c>
      <c r="H46" s="61">
        <f>F46/E46*D46</f>
        <v>15.075000000000001</v>
      </c>
      <c r="I46" s="31"/>
      <c r="J46" s="77"/>
      <c r="K46" s="450" t="s">
        <v>13</v>
      </c>
      <c r="L46" s="142"/>
      <c r="M46" s="29" t="str">
        <f>VLOOKUP(K46,SoybeanFungicides,4,FALSE)</f>
        <v>None</v>
      </c>
      <c r="N46" s="451">
        <v>0</v>
      </c>
      <c r="O46" s="790">
        <f>VLOOKUP(K46,SoybeanFungicides,3,FALSE)</f>
        <v>1</v>
      </c>
      <c r="P46" s="452">
        <v>0</v>
      </c>
      <c r="Q46" s="59">
        <f>VLOOKUP(K46,SoybeanFungicides,2,FALSE)</f>
        <v>0</v>
      </c>
      <c r="R46" s="61">
        <f>P46/O46*N46</f>
        <v>0</v>
      </c>
      <c r="S46" s="77"/>
      <c r="T46" s="77"/>
      <c r="U46" s="450" t="s">
        <v>446</v>
      </c>
      <c r="V46" s="142"/>
      <c r="W46" s="29" t="str">
        <f>VLOOKUP(U46,WheatFungicides,4,FALSE)</f>
        <v>Gallons</v>
      </c>
      <c r="X46" s="451">
        <v>150</v>
      </c>
      <c r="Y46" s="790">
        <f>VLOOKUP(U46,WheatFungicides,3,FALSE)</f>
        <v>128</v>
      </c>
      <c r="Z46" s="452">
        <v>17</v>
      </c>
      <c r="AA46" s="59" t="str">
        <f>VLOOKUP(U46,WheatFungicides,2,FALSE)</f>
        <v>oz</v>
      </c>
      <c r="AB46" s="61">
        <f>Z46/Y46*X46</f>
        <v>19.921875</v>
      </c>
    </row>
    <row r="47" spans="1:28" ht="15.75">
      <c r="A47" s="450" t="s">
        <v>13</v>
      </c>
      <c r="B47" s="142"/>
      <c r="C47" s="29" t="str">
        <f>VLOOKUP($A47,CornFungicides,4,FALSE)</f>
        <v>None</v>
      </c>
      <c r="D47" s="451">
        <v>0</v>
      </c>
      <c r="E47" s="790">
        <f>VLOOKUP($A47,CornFungicides,3,FALSE)</f>
        <v>1</v>
      </c>
      <c r="F47" s="452">
        <v>0</v>
      </c>
      <c r="G47" s="59">
        <f>VLOOKUP($A47,CornFungicides,2,FALSE)</f>
        <v>0</v>
      </c>
      <c r="H47" s="61">
        <f t="shared" ref="H47:H50" si="13">F47/E47*D47</f>
        <v>0</v>
      </c>
      <c r="I47" s="31"/>
      <c r="J47" s="77"/>
      <c r="K47" s="450" t="s">
        <v>13</v>
      </c>
      <c r="L47" s="142"/>
      <c r="M47" s="29" t="str">
        <f>VLOOKUP(K47,SoybeanFungicides,4,FALSE)</f>
        <v>None</v>
      </c>
      <c r="N47" s="451">
        <v>0</v>
      </c>
      <c r="O47" s="790">
        <f>VLOOKUP(K47,SoybeanFungicides,3,FALSE)</f>
        <v>1</v>
      </c>
      <c r="P47" s="452">
        <v>0</v>
      </c>
      <c r="Q47" s="59">
        <f>VLOOKUP(K47,SoybeanFungicides,2,FALSE)</f>
        <v>0</v>
      </c>
      <c r="R47" s="61">
        <f t="shared" ref="R47:R50" si="14">P47/O47*N47</f>
        <v>0</v>
      </c>
      <c r="S47" s="77"/>
      <c r="T47" s="77"/>
      <c r="U47" s="450" t="s">
        <v>13</v>
      </c>
      <c r="V47" s="142"/>
      <c r="W47" s="29" t="str">
        <f>VLOOKUP(U47,WheatFungicides,4,FALSE)</f>
        <v>None</v>
      </c>
      <c r="X47" s="451">
        <v>0</v>
      </c>
      <c r="Y47" s="790">
        <f>VLOOKUP(U47,WheatFungicides,3,FALSE)</f>
        <v>1</v>
      </c>
      <c r="Z47" s="452">
        <v>0</v>
      </c>
      <c r="AA47" s="59">
        <f>VLOOKUP(U47,WheatFungicides,2,FALSE)</f>
        <v>0</v>
      </c>
      <c r="AB47" s="61">
        <f t="shared" ref="AB47:AB50" si="15">Z47/Y47*X47</f>
        <v>0</v>
      </c>
    </row>
    <row r="48" spans="1:28" ht="15.75">
      <c r="A48" s="450" t="s">
        <v>13</v>
      </c>
      <c r="B48" s="142"/>
      <c r="C48" s="29" t="str">
        <f>VLOOKUP($A48,CornFungicides,4,FALSE)</f>
        <v>None</v>
      </c>
      <c r="D48" s="451">
        <v>0</v>
      </c>
      <c r="E48" s="790">
        <f>VLOOKUP($A48,CornFungicides,3,FALSE)</f>
        <v>1</v>
      </c>
      <c r="F48" s="452">
        <v>0</v>
      </c>
      <c r="G48" s="59">
        <f>VLOOKUP($A48,CornFungicides,2,FALSE)</f>
        <v>0</v>
      </c>
      <c r="H48" s="61">
        <f t="shared" si="13"/>
        <v>0</v>
      </c>
      <c r="I48" s="31"/>
      <c r="J48" s="77"/>
      <c r="K48" s="450" t="s">
        <v>13</v>
      </c>
      <c r="L48" s="142"/>
      <c r="M48" s="29" t="str">
        <f>VLOOKUP(K48,SoybeanFungicides,4,FALSE)</f>
        <v>None</v>
      </c>
      <c r="N48" s="451">
        <v>0</v>
      </c>
      <c r="O48" s="790">
        <f>VLOOKUP(K48,SoybeanFungicides,3,FALSE)</f>
        <v>1</v>
      </c>
      <c r="P48" s="452">
        <v>0</v>
      </c>
      <c r="Q48" s="59">
        <f>VLOOKUP(K48,SoybeanFungicides,2,FALSE)</f>
        <v>0</v>
      </c>
      <c r="R48" s="61">
        <f t="shared" si="14"/>
        <v>0</v>
      </c>
      <c r="S48" s="77"/>
      <c r="T48" s="77"/>
      <c r="U48" s="450" t="s">
        <v>13</v>
      </c>
      <c r="V48" s="142"/>
      <c r="W48" s="29" t="str">
        <f>VLOOKUP(U48,WheatFungicides,4,FALSE)</f>
        <v>None</v>
      </c>
      <c r="X48" s="451">
        <v>0</v>
      </c>
      <c r="Y48" s="790">
        <f>VLOOKUP(U48,WheatFungicides,3,FALSE)</f>
        <v>1</v>
      </c>
      <c r="Z48" s="452">
        <v>0</v>
      </c>
      <c r="AA48" s="59">
        <f>VLOOKUP(U48,WheatFungicides,2,FALSE)</f>
        <v>0</v>
      </c>
      <c r="AB48" s="61">
        <f t="shared" si="15"/>
        <v>0</v>
      </c>
    </row>
    <row r="49" spans="1:28" ht="15.75">
      <c r="A49" s="450" t="s">
        <v>13</v>
      </c>
      <c r="B49" s="142"/>
      <c r="C49" s="29" t="str">
        <f>VLOOKUP($A49,CornFungicides,4,FALSE)</f>
        <v>None</v>
      </c>
      <c r="D49" s="451">
        <v>0</v>
      </c>
      <c r="E49" s="790">
        <f>VLOOKUP($A49,CornFungicides,3,FALSE)</f>
        <v>1</v>
      </c>
      <c r="F49" s="452">
        <v>0</v>
      </c>
      <c r="G49" s="59">
        <f>VLOOKUP($A49,CornFungicides,2,FALSE)</f>
        <v>0</v>
      </c>
      <c r="H49" s="61">
        <f t="shared" si="13"/>
        <v>0</v>
      </c>
      <c r="I49" s="31"/>
      <c r="J49" s="77"/>
      <c r="K49" s="450" t="s">
        <v>13</v>
      </c>
      <c r="L49" s="142"/>
      <c r="M49" s="29" t="str">
        <f>VLOOKUP(K49,SoybeanFungicides,4,FALSE)</f>
        <v>None</v>
      </c>
      <c r="N49" s="451">
        <v>0</v>
      </c>
      <c r="O49" s="790">
        <f>VLOOKUP(K49,SoybeanFungicides,3,FALSE)</f>
        <v>1</v>
      </c>
      <c r="P49" s="452">
        <v>0</v>
      </c>
      <c r="Q49" s="59">
        <f>VLOOKUP(K49,SoybeanFungicides,2,FALSE)</f>
        <v>0</v>
      </c>
      <c r="R49" s="61">
        <f t="shared" si="14"/>
        <v>0</v>
      </c>
      <c r="S49" s="77"/>
      <c r="T49" s="77"/>
      <c r="U49" s="450" t="s">
        <v>13</v>
      </c>
      <c r="V49" s="142"/>
      <c r="W49" s="29" t="str">
        <f>VLOOKUP(U49,WheatFungicides,4,FALSE)</f>
        <v>None</v>
      </c>
      <c r="X49" s="451">
        <v>0</v>
      </c>
      <c r="Y49" s="790">
        <f>VLOOKUP(U49,WheatFungicides,3,FALSE)</f>
        <v>1</v>
      </c>
      <c r="Z49" s="452">
        <v>0</v>
      </c>
      <c r="AA49" s="59">
        <f>VLOOKUP(U49,WheatFungicides,2,FALSE)</f>
        <v>0</v>
      </c>
      <c r="AB49" s="61">
        <f t="shared" si="15"/>
        <v>0</v>
      </c>
    </row>
    <row r="50" spans="1:28" ht="15.75">
      <c r="A50" s="450" t="s">
        <v>13</v>
      </c>
      <c r="B50" s="142"/>
      <c r="C50" s="29" t="str">
        <f>VLOOKUP($A50,CornFungicides,4,FALSE)</f>
        <v>None</v>
      </c>
      <c r="D50" s="451">
        <v>0</v>
      </c>
      <c r="E50" s="790">
        <f>VLOOKUP($A50,CornFungicides,3,FALSE)</f>
        <v>1</v>
      </c>
      <c r="F50" s="452">
        <v>0</v>
      </c>
      <c r="G50" s="59">
        <f>VLOOKUP($A50,CornFungicides,2,FALSE)</f>
        <v>0</v>
      </c>
      <c r="H50" s="61">
        <f t="shared" si="13"/>
        <v>0</v>
      </c>
      <c r="I50" s="31"/>
      <c r="J50" s="77"/>
      <c r="K50" s="450" t="s">
        <v>13</v>
      </c>
      <c r="L50" s="142"/>
      <c r="M50" s="29" t="str">
        <f>VLOOKUP(K50,SoybeanFungicides,4,FALSE)</f>
        <v>None</v>
      </c>
      <c r="N50" s="451">
        <v>0</v>
      </c>
      <c r="O50" s="790">
        <f>VLOOKUP(K50,SoybeanFungicides,3,FALSE)</f>
        <v>1</v>
      </c>
      <c r="P50" s="452">
        <v>0</v>
      </c>
      <c r="Q50" s="59">
        <f>VLOOKUP(K50,SoybeanFungicides,2,FALSE)</f>
        <v>0</v>
      </c>
      <c r="R50" s="61">
        <f t="shared" si="14"/>
        <v>0</v>
      </c>
      <c r="S50" s="77"/>
      <c r="T50" s="77"/>
      <c r="U50" s="450" t="s">
        <v>13</v>
      </c>
      <c r="V50" s="142"/>
      <c r="W50" s="29" t="str">
        <f>VLOOKUP(U50,WheatFungicides,4,FALSE)</f>
        <v>None</v>
      </c>
      <c r="X50" s="451">
        <v>0</v>
      </c>
      <c r="Y50" s="790">
        <f>VLOOKUP(U50,WheatFungicides,3,FALSE)</f>
        <v>1</v>
      </c>
      <c r="Z50" s="452">
        <v>0</v>
      </c>
      <c r="AA50" s="59">
        <f>VLOOKUP(U50,WheatFungicides,2,FALSE)</f>
        <v>0</v>
      </c>
      <c r="AB50" s="61">
        <f t="shared" si="15"/>
        <v>0</v>
      </c>
    </row>
    <row r="51" spans="1:28" ht="15.75">
      <c r="A51" s="63"/>
      <c r="B51" s="142"/>
      <c r="C51" s="57"/>
      <c r="D51" s="69"/>
      <c r="E51" s="59"/>
      <c r="F51" s="70"/>
      <c r="G51" s="59"/>
      <c r="H51" s="61"/>
      <c r="I51" s="62"/>
      <c r="J51" s="96"/>
      <c r="K51" s="63"/>
      <c r="L51" s="142"/>
      <c r="M51" s="57"/>
      <c r="N51" s="69"/>
      <c r="O51" s="59"/>
      <c r="P51" s="70"/>
      <c r="Q51" s="59"/>
      <c r="R51" s="61"/>
      <c r="S51" s="96"/>
      <c r="T51" s="96"/>
      <c r="U51" s="155"/>
      <c r="V51" s="151"/>
      <c r="W51" s="57"/>
      <c r="X51" s="69"/>
      <c r="Y51" s="59"/>
      <c r="Z51" s="70"/>
      <c r="AA51" s="59"/>
      <c r="AB51" s="61"/>
    </row>
    <row r="52" spans="1:28" ht="15.75">
      <c r="A52" s="63"/>
      <c r="B52" s="56"/>
      <c r="C52" s="57"/>
      <c r="D52" s="69"/>
      <c r="E52" s="59"/>
      <c r="F52" s="70"/>
      <c r="G52" s="59"/>
      <c r="H52" s="61"/>
      <c r="I52" s="62"/>
      <c r="J52" s="96"/>
      <c r="K52" s="63"/>
      <c r="L52" s="142"/>
      <c r="M52" s="57"/>
      <c r="N52" s="69"/>
      <c r="O52" s="59"/>
      <c r="P52" s="70"/>
      <c r="Q52" s="59"/>
      <c r="R52" s="61"/>
      <c r="S52" s="96"/>
      <c r="T52" s="96"/>
      <c r="U52" s="55"/>
      <c r="V52" s="56"/>
      <c r="W52" s="57"/>
      <c r="X52" s="69"/>
      <c r="Y52" s="59"/>
      <c r="Z52" s="70"/>
      <c r="AA52" s="59"/>
      <c r="AB52" s="61"/>
    </row>
    <row r="53" spans="1:28" ht="16.5" thickBot="1">
      <c r="A53" s="325" t="s">
        <v>295</v>
      </c>
      <c r="B53" s="326"/>
      <c r="C53" s="322"/>
      <c r="D53" s="327"/>
      <c r="E53" s="322"/>
      <c r="F53" s="327"/>
      <c r="G53" s="323"/>
      <c r="H53" s="324">
        <f>SUM(H46:H50)</f>
        <v>15.075000000000001</v>
      </c>
      <c r="I53" s="156"/>
      <c r="J53" s="96"/>
      <c r="K53" s="325" t="s">
        <v>295</v>
      </c>
      <c r="L53" s="326"/>
      <c r="M53" s="322"/>
      <c r="N53" s="327"/>
      <c r="O53" s="322"/>
      <c r="P53" s="327"/>
      <c r="Q53" s="323"/>
      <c r="R53" s="324">
        <f>SUM(R46:R50)</f>
        <v>0</v>
      </c>
      <c r="S53" s="96"/>
      <c r="T53" s="96"/>
      <c r="U53" s="325" t="s">
        <v>295</v>
      </c>
      <c r="V53" s="326"/>
      <c r="W53" s="322"/>
      <c r="X53" s="327"/>
      <c r="Y53" s="322"/>
      <c r="Z53" s="327"/>
      <c r="AA53" s="323"/>
      <c r="AB53" s="324">
        <f>SUM(AB46:AB50)</f>
        <v>19.921875</v>
      </c>
    </row>
    <row r="54" spans="1:28" ht="16.5" thickTop="1">
      <c r="A54" s="63"/>
      <c r="B54" s="142"/>
      <c r="C54" s="57"/>
      <c r="D54" s="69"/>
      <c r="E54" s="59"/>
      <c r="F54" s="70"/>
      <c r="G54" s="59"/>
      <c r="H54" s="61"/>
      <c r="I54" s="62"/>
      <c r="J54" s="96"/>
      <c r="K54" s="63"/>
      <c r="L54" s="142"/>
      <c r="M54" s="57"/>
      <c r="N54" s="69"/>
      <c r="O54" s="59"/>
      <c r="P54" s="70"/>
      <c r="Q54" s="59"/>
      <c r="R54" s="61"/>
      <c r="S54" s="96"/>
      <c r="T54" s="96"/>
      <c r="U54" s="155"/>
      <c r="V54" s="142"/>
      <c r="W54" s="57"/>
      <c r="X54" s="69"/>
      <c r="Y54" s="59"/>
      <c r="Z54" s="70"/>
      <c r="AA54" s="59"/>
      <c r="AB54" s="61"/>
    </row>
    <row r="55" spans="1:28" ht="15.75">
      <c r="A55" s="63"/>
      <c r="B55" s="142"/>
      <c r="C55" s="57"/>
      <c r="D55" s="69"/>
      <c r="E55" s="59"/>
      <c r="F55" s="70"/>
      <c r="G55" s="59"/>
      <c r="H55" s="61"/>
      <c r="I55" s="62"/>
      <c r="J55" s="96"/>
      <c r="K55" s="63"/>
      <c r="L55" s="142"/>
      <c r="M55" s="57"/>
      <c r="N55" s="69"/>
      <c r="O55" s="59"/>
      <c r="P55" s="70"/>
      <c r="Q55" s="59"/>
      <c r="R55" s="61"/>
      <c r="S55" s="96"/>
      <c r="T55" s="96"/>
      <c r="U55" s="55"/>
      <c r="V55" s="142"/>
      <c r="W55" s="57"/>
      <c r="X55" s="69"/>
      <c r="Y55" s="59"/>
      <c r="Z55" s="70"/>
      <c r="AA55" s="59"/>
      <c r="AB55" s="61"/>
    </row>
    <row r="56" spans="1:28" ht="15.75">
      <c r="A56" s="141" t="s">
        <v>427</v>
      </c>
      <c r="B56" s="142"/>
      <c r="C56" s="74"/>
      <c r="D56" s="99" t="s">
        <v>153</v>
      </c>
      <c r="E56" s="165"/>
      <c r="F56" s="99" t="s">
        <v>153</v>
      </c>
      <c r="G56" s="54"/>
      <c r="H56" s="144"/>
      <c r="I56" s="140"/>
      <c r="J56" s="96"/>
      <c r="K56" s="141" t="s">
        <v>427</v>
      </c>
      <c r="L56" s="142"/>
      <c r="M56" s="74"/>
      <c r="N56" s="99" t="s">
        <v>153</v>
      </c>
      <c r="O56" s="165"/>
      <c r="P56" s="99" t="s">
        <v>153</v>
      </c>
      <c r="Q56" s="54"/>
      <c r="R56" s="144"/>
      <c r="S56" s="96"/>
      <c r="T56" s="96"/>
      <c r="U56" s="141" t="s">
        <v>427</v>
      </c>
      <c r="V56" s="142"/>
      <c r="W56" s="74"/>
      <c r="X56" s="99" t="s">
        <v>153</v>
      </c>
      <c r="Y56" s="165"/>
      <c r="Z56" s="99" t="s">
        <v>153</v>
      </c>
      <c r="AA56" s="54"/>
      <c r="AB56" s="144"/>
    </row>
    <row r="57" spans="1:28" ht="15.75">
      <c r="A57" s="450" t="s">
        <v>13</v>
      </c>
      <c r="B57" s="142"/>
      <c r="C57" s="29" t="str">
        <f>VLOOKUP($A57,CornInsecticides,4,FALSE)</f>
        <v>None</v>
      </c>
      <c r="D57" s="451">
        <v>0</v>
      </c>
      <c r="E57" s="790">
        <f>VLOOKUP($A57,CornInsecticides,3,FALSE)</f>
        <v>1</v>
      </c>
      <c r="F57" s="452">
        <v>0</v>
      </c>
      <c r="G57" s="59">
        <f>VLOOKUP($A57,CornInsecticides,2,FALSE)</f>
        <v>0</v>
      </c>
      <c r="H57" s="61">
        <f>F57/E57*D57</f>
        <v>0</v>
      </c>
      <c r="I57" s="31"/>
      <c r="J57" s="77"/>
      <c r="K57" s="450" t="s">
        <v>13</v>
      </c>
      <c r="L57" s="142"/>
      <c r="M57" s="29" t="str">
        <f>VLOOKUP(K57,SoybeanInsecticides,4,FALSE)</f>
        <v>None</v>
      </c>
      <c r="N57" s="451">
        <v>0</v>
      </c>
      <c r="O57" s="790">
        <f>VLOOKUP(K57,SoybeanInsecticides,3,FALSE)</f>
        <v>1</v>
      </c>
      <c r="P57" s="452">
        <v>0</v>
      </c>
      <c r="Q57" s="59">
        <f>VLOOKUP(K57,SoybeanInsecticides,2,FALSE)</f>
        <v>0</v>
      </c>
      <c r="R57" s="61">
        <f>P57/O57*N57</f>
        <v>0</v>
      </c>
      <c r="S57" s="77"/>
      <c r="T57" s="77"/>
      <c r="U57" s="450" t="s">
        <v>13</v>
      </c>
      <c r="V57" s="142"/>
      <c r="W57" s="29" t="str">
        <f>VLOOKUP(U57,WheatInsecticides,4,FALSE)</f>
        <v>None</v>
      </c>
      <c r="X57" s="451">
        <v>0</v>
      </c>
      <c r="Y57" s="790">
        <f>VLOOKUP(U57,WheatInsecticides,3,FALSE)</f>
        <v>1</v>
      </c>
      <c r="Z57" s="452">
        <v>0</v>
      </c>
      <c r="AA57" s="59">
        <f>VLOOKUP(U57,WheatInsecticides,2,FALSE)</f>
        <v>0</v>
      </c>
      <c r="AB57" s="61">
        <f>Z57/Y57*X57</f>
        <v>0</v>
      </c>
    </row>
    <row r="58" spans="1:28" ht="15.75">
      <c r="A58" s="450" t="s">
        <v>13</v>
      </c>
      <c r="B58" s="142"/>
      <c r="C58" s="29" t="str">
        <f>VLOOKUP($A58,CornInsecticides,4,FALSE)</f>
        <v>None</v>
      </c>
      <c r="D58" s="451">
        <v>0</v>
      </c>
      <c r="E58" s="790">
        <f>VLOOKUP($A58,CornInsecticides,3,FALSE)</f>
        <v>1</v>
      </c>
      <c r="F58" s="452">
        <v>0</v>
      </c>
      <c r="G58" s="59">
        <f>VLOOKUP($A58,CornInsecticides,2,FALSE)</f>
        <v>0</v>
      </c>
      <c r="H58" s="61">
        <f t="shared" ref="H58:H61" si="16">F58/E58*D58</f>
        <v>0</v>
      </c>
      <c r="I58" s="31"/>
      <c r="J58" s="77"/>
      <c r="K58" s="450" t="s">
        <v>13</v>
      </c>
      <c r="L58" s="142"/>
      <c r="M58" s="29" t="str">
        <f>VLOOKUP(K58,SoybeanInsecticides,4,FALSE)</f>
        <v>None</v>
      </c>
      <c r="N58" s="451">
        <v>0</v>
      </c>
      <c r="O58" s="790">
        <f>VLOOKUP(K58,SoybeanInsecticides,3,FALSE)</f>
        <v>1</v>
      </c>
      <c r="P58" s="452">
        <v>0</v>
      </c>
      <c r="Q58" s="59">
        <f>VLOOKUP(K58,SoybeanInsecticides,2,FALSE)</f>
        <v>0</v>
      </c>
      <c r="R58" s="61">
        <f t="shared" ref="R58:R61" si="17">P58/O58*N58</f>
        <v>0</v>
      </c>
      <c r="S58" s="77"/>
      <c r="T58" s="77"/>
      <c r="U58" s="450" t="s">
        <v>13</v>
      </c>
      <c r="V58" s="142"/>
      <c r="W58" s="29" t="str">
        <f>VLOOKUP(U58,WheatInsecticides,4,FALSE)</f>
        <v>None</v>
      </c>
      <c r="X58" s="451">
        <v>0</v>
      </c>
      <c r="Y58" s="790">
        <f>VLOOKUP(U58,WheatInsecticides,3,FALSE)</f>
        <v>1</v>
      </c>
      <c r="Z58" s="452">
        <v>0</v>
      </c>
      <c r="AA58" s="59">
        <f>VLOOKUP(U58,WheatInsecticides,2,FALSE)</f>
        <v>0</v>
      </c>
      <c r="AB58" s="61">
        <f t="shared" ref="AB58:AB61" si="18">Z58/Y58*X58</f>
        <v>0</v>
      </c>
    </row>
    <row r="59" spans="1:28" ht="15.75">
      <c r="A59" s="450" t="s">
        <v>13</v>
      </c>
      <c r="B59" s="142"/>
      <c r="C59" s="29" t="str">
        <f>VLOOKUP($A59,CornInsecticides,4,FALSE)</f>
        <v>None</v>
      </c>
      <c r="D59" s="451">
        <v>0</v>
      </c>
      <c r="E59" s="790">
        <f>VLOOKUP($A59,CornInsecticides,3,FALSE)</f>
        <v>1</v>
      </c>
      <c r="F59" s="452">
        <v>0</v>
      </c>
      <c r="G59" s="59">
        <f>VLOOKUP($A59,CornInsecticides,2,FALSE)</f>
        <v>0</v>
      </c>
      <c r="H59" s="61">
        <f t="shared" si="16"/>
        <v>0</v>
      </c>
      <c r="I59" s="31"/>
      <c r="J59" s="77"/>
      <c r="K59" s="450" t="s">
        <v>13</v>
      </c>
      <c r="L59" s="142"/>
      <c r="M59" s="29" t="str">
        <f>VLOOKUP(K59,SoybeanInsecticides,4,FALSE)</f>
        <v>None</v>
      </c>
      <c r="N59" s="451">
        <v>0</v>
      </c>
      <c r="O59" s="790">
        <f>VLOOKUP(K59,SoybeanInsecticides,3,FALSE)</f>
        <v>1</v>
      </c>
      <c r="P59" s="452">
        <v>0</v>
      </c>
      <c r="Q59" s="59">
        <f>VLOOKUP(K59,SoybeanInsecticides,2,FALSE)</f>
        <v>0</v>
      </c>
      <c r="R59" s="61">
        <f t="shared" si="17"/>
        <v>0</v>
      </c>
      <c r="S59" s="77"/>
      <c r="T59" s="77"/>
      <c r="U59" s="450" t="s">
        <v>13</v>
      </c>
      <c r="V59" s="142"/>
      <c r="W59" s="29" t="str">
        <f>VLOOKUP(U59,WheatInsecticides,4,FALSE)</f>
        <v>None</v>
      </c>
      <c r="X59" s="451">
        <v>0</v>
      </c>
      <c r="Y59" s="790">
        <f>VLOOKUP(U59,WheatInsecticides,3,FALSE)</f>
        <v>1</v>
      </c>
      <c r="Z59" s="452">
        <v>0</v>
      </c>
      <c r="AA59" s="59">
        <f>VLOOKUP(U59,WheatInsecticides,2,FALSE)</f>
        <v>0</v>
      </c>
      <c r="AB59" s="61">
        <f t="shared" si="18"/>
        <v>0</v>
      </c>
    </row>
    <row r="60" spans="1:28" ht="15.75">
      <c r="A60" s="450" t="s">
        <v>13</v>
      </c>
      <c r="B60" s="142"/>
      <c r="C60" s="29" t="str">
        <f>VLOOKUP($A60,CornInsecticides,4,FALSE)</f>
        <v>None</v>
      </c>
      <c r="D60" s="451">
        <v>0</v>
      </c>
      <c r="E60" s="790">
        <f>VLOOKUP($A60,CornInsecticides,3,FALSE)</f>
        <v>1</v>
      </c>
      <c r="F60" s="452">
        <v>0</v>
      </c>
      <c r="G60" s="59">
        <f>VLOOKUP($A60,CornInsecticides,2,FALSE)</f>
        <v>0</v>
      </c>
      <c r="H60" s="61">
        <f t="shared" si="16"/>
        <v>0</v>
      </c>
      <c r="I60" s="31"/>
      <c r="J60" s="77"/>
      <c r="K60" s="450" t="s">
        <v>13</v>
      </c>
      <c r="L60" s="142"/>
      <c r="M60" s="29" t="str">
        <f>VLOOKUP(K60,SoybeanInsecticides,4,FALSE)</f>
        <v>None</v>
      </c>
      <c r="N60" s="451">
        <v>0</v>
      </c>
      <c r="O60" s="790">
        <f>VLOOKUP(K60,SoybeanInsecticides,3,FALSE)</f>
        <v>1</v>
      </c>
      <c r="P60" s="452">
        <v>0</v>
      </c>
      <c r="Q60" s="59">
        <f>VLOOKUP(K60,SoybeanInsecticides,2,FALSE)</f>
        <v>0</v>
      </c>
      <c r="R60" s="61">
        <f t="shared" si="17"/>
        <v>0</v>
      </c>
      <c r="S60" s="77"/>
      <c r="T60" s="77"/>
      <c r="U60" s="450" t="s">
        <v>13</v>
      </c>
      <c r="V60" s="142"/>
      <c r="W60" s="29" t="str">
        <f>VLOOKUP(U60,WheatInsecticides,4,FALSE)</f>
        <v>None</v>
      </c>
      <c r="X60" s="451">
        <v>0</v>
      </c>
      <c r="Y60" s="790">
        <f>VLOOKUP(U60,WheatInsecticides,3,FALSE)</f>
        <v>1</v>
      </c>
      <c r="Z60" s="452">
        <v>0</v>
      </c>
      <c r="AA60" s="59">
        <f>VLOOKUP(U60,WheatInsecticides,2,FALSE)</f>
        <v>0</v>
      </c>
      <c r="AB60" s="61">
        <f t="shared" si="18"/>
        <v>0</v>
      </c>
    </row>
    <row r="61" spans="1:28" ht="15.75">
      <c r="A61" s="450" t="s">
        <v>13</v>
      </c>
      <c r="B61" s="142"/>
      <c r="C61" s="29" t="str">
        <f>VLOOKUP($A61,CornInsecticides,4,FALSE)</f>
        <v>None</v>
      </c>
      <c r="D61" s="451">
        <v>0</v>
      </c>
      <c r="E61" s="790">
        <f>VLOOKUP($A61,CornInsecticides,3,FALSE)</f>
        <v>1</v>
      </c>
      <c r="F61" s="452">
        <v>0</v>
      </c>
      <c r="G61" s="59">
        <f>VLOOKUP($A61,CornInsecticides,2,FALSE)</f>
        <v>0</v>
      </c>
      <c r="H61" s="61">
        <f t="shared" si="16"/>
        <v>0</v>
      </c>
      <c r="I61" s="31"/>
      <c r="J61" s="77"/>
      <c r="K61" s="450" t="s">
        <v>13</v>
      </c>
      <c r="L61" s="142"/>
      <c r="M61" s="29" t="str">
        <f>VLOOKUP(K61,SoybeanInsecticides,4,FALSE)</f>
        <v>None</v>
      </c>
      <c r="N61" s="451">
        <v>0</v>
      </c>
      <c r="O61" s="790">
        <f>VLOOKUP(K61,SoybeanInsecticides,3,FALSE)</f>
        <v>1</v>
      </c>
      <c r="P61" s="452">
        <v>0</v>
      </c>
      <c r="Q61" s="59">
        <f>VLOOKUP(K61,SoybeanInsecticides,2,FALSE)</f>
        <v>0</v>
      </c>
      <c r="R61" s="61">
        <f t="shared" si="17"/>
        <v>0</v>
      </c>
      <c r="S61" s="77"/>
      <c r="T61" s="77"/>
      <c r="U61" s="450" t="s">
        <v>13</v>
      </c>
      <c r="V61" s="142"/>
      <c r="W61" s="29" t="str">
        <f>VLOOKUP(U61,WheatInsecticides,4,FALSE)</f>
        <v>None</v>
      </c>
      <c r="X61" s="451">
        <v>0</v>
      </c>
      <c r="Y61" s="790">
        <f>VLOOKUP(U61,WheatInsecticides,3,FALSE)</f>
        <v>1</v>
      </c>
      <c r="Z61" s="452">
        <v>0</v>
      </c>
      <c r="AA61" s="59">
        <f>VLOOKUP(U61,WheatInsecticides,2,FALSE)</f>
        <v>0</v>
      </c>
      <c r="AB61" s="61">
        <f t="shared" si="18"/>
        <v>0</v>
      </c>
    </row>
    <row r="62" spans="1:28" ht="15.75">
      <c r="A62" s="63"/>
      <c r="B62" s="142"/>
      <c r="C62" s="57"/>
      <c r="D62" s="58"/>
      <c r="E62" s="59"/>
      <c r="F62" s="60"/>
      <c r="G62" s="59"/>
      <c r="H62" s="61"/>
      <c r="I62" s="62"/>
      <c r="J62" s="96"/>
      <c r="K62" s="63"/>
      <c r="L62" s="151"/>
      <c r="M62" s="57"/>
      <c r="N62" s="58"/>
      <c r="O62" s="59"/>
      <c r="P62" s="60"/>
      <c r="Q62" s="59"/>
      <c r="R62" s="61"/>
      <c r="S62" s="96"/>
      <c r="T62" s="96"/>
      <c r="U62" s="63"/>
      <c r="V62" s="151"/>
      <c r="W62" s="57"/>
      <c r="X62" s="58"/>
      <c r="Y62" s="59"/>
      <c r="Z62" s="60"/>
      <c r="AA62" s="59"/>
      <c r="AB62" s="61"/>
    </row>
    <row r="63" spans="1:28" ht="15.75">
      <c r="A63" s="63"/>
      <c r="B63" s="142"/>
      <c r="C63" s="57"/>
      <c r="D63" s="58"/>
      <c r="E63" s="59"/>
      <c r="F63" s="60"/>
      <c r="G63" s="59"/>
      <c r="H63" s="61"/>
      <c r="I63" s="62"/>
      <c r="J63" s="96"/>
      <c r="K63" s="63"/>
      <c r="L63" s="56"/>
      <c r="M63" s="57"/>
      <c r="N63" s="58"/>
      <c r="O63" s="59"/>
      <c r="P63" s="60"/>
      <c r="Q63" s="59"/>
      <c r="R63" s="61"/>
      <c r="S63" s="96"/>
      <c r="T63" s="96"/>
      <c r="U63" s="63"/>
      <c r="V63" s="56"/>
      <c r="W63" s="57"/>
      <c r="X63" s="58"/>
      <c r="Y63" s="59"/>
      <c r="Z63" s="60"/>
      <c r="AA63" s="59"/>
      <c r="AB63" s="61"/>
    </row>
    <row r="64" spans="1:28" ht="16.5" thickBot="1">
      <c r="A64" s="325" t="s">
        <v>296</v>
      </c>
      <c r="B64" s="326"/>
      <c r="C64" s="322"/>
      <c r="D64" s="322"/>
      <c r="E64" s="322"/>
      <c r="F64" s="322"/>
      <c r="G64" s="323"/>
      <c r="H64" s="324">
        <f>SUM(H57:H61)</f>
        <v>0</v>
      </c>
      <c r="I64" s="156"/>
      <c r="J64" s="96"/>
      <c r="K64" s="325" t="s">
        <v>296</v>
      </c>
      <c r="L64" s="326"/>
      <c r="M64" s="322"/>
      <c r="N64" s="322"/>
      <c r="O64" s="322"/>
      <c r="P64" s="322"/>
      <c r="Q64" s="323"/>
      <c r="R64" s="324">
        <f>SUM(R57:R61)</f>
        <v>0</v>
      </c>
      <c r="S64" s="96"/>
      <c r="T64" s="96"/>
      <c r="U64" s="325" t="s">
        <v>296</v>
      </c>
      <c r="V64" s="326"/>
      <c r="W64" s="322"/>
      <c r="X64" s="322"/>
      <c r="Y64" s="322"/>
      <c r="Z64" s="322"/>
      <c r="AA64" s="323"/>
      <c r="AB64" s="324">
        <f>SUM(AB57:AB61)</f>
        <v>0</v>
      </c>
    </row>
    <row r="65" spans="1:28" ht="16.5" thickTop="1">
      <c r="A65" s="71"/>
      <c r="B65" s="72"/>
      <c r="C65" s="72"/>
      <c r="D65" s="73"/>
      <c r="E65" s="73"/>
      <c r="F65" s="73"/>
      <c r="G65" s="74"/>
      <c r="H65" s="75"/>
      <c r="I65" s="73"/>
      <c r="J65" s="96"/>
      <c r="K65" s="71"/>
      <c r="L65" s="72"/>
      <c r="M65" s="72"/>
      <c r="N65" s="73"/>
      <c r="O65" s="73"/>
      <c r="P65" s="73"/>
      <c r="Q65" s="74"/>
      <c r="R65" s="75"/>
      <c r="S65" s="96"/>
      <c r="T65" s="96"/>
      <c r="U65" s="71"/>
      <c r="V65" s="72"/>
      <c r="W65" s="72"/>
      <c r="X65" s="73"/>
      <c r="Y65" s="73"/>
      <c r="Z65" s="73"/>
      <c r="AA65" s="74"/>
      <c r="AB65" s="75"/>
    </row>
    <row r="66" spans="1:28" ht="15.75">
      <c r="A66" s="71"/>
      <c r="B66" s="72"/>
      <c r="C66" s="72"/>
      <c r="D66" s="73"/>
      <c r="E66" s="73"/>
      <c r="F66" s="73"/>
      <c r="G66" s="74"/>
      <c r="H66" s="75"/>
      <c r="I66" s="73"/>
      <c r="J66" s="96"/>
      <c r="K66" s="71"/>
      <c r="L66" s="72"/>
      <c r="M66" s="72"/>
      <c r="N66" s="73"/>
      <c r="O66" s="73"/>
      <c r="P66" s="73"/>
      <c r="Q66" s="74"/>
      <c r="R66" s="75"/>
      <c r="S66" s="96"/>
      <c r="T66" s="96"/>
      <c r="U66" s="71"/>
      <c r="V66" s="72"/>
      <c r="W66" s="72"/>
      <c r="X66" s="73"/>
      <c r="Y66" s="73"/>
      <c r="Z66" s="73"/>
      <c r="AA66" s="74"/>
      <c r="AB66" s="75"/>
    </row>
    <row r="67" spans="1:28" ht="16.5" thickBot="1">
      <c r="A67" s="317" t="s">
        <v>169</v>
      </c>
      <c r="B67" s="318"/>
      <c r="C67" s="319"/>
      <c r="D67" s="319"/>
      <c r="E67" s="319"/>
      <c r="F67" s="319"/>
      <c r="G67" s="320"/>
      <c r="H67" s="321">
        <f>H64+H53+H40+H19</f>
        <v>51.435000000000002</v>
      </c>
      <c r="I67" s="156"/>
      <c r="J67" s="96"/>
      <c r="K67" s="317" t="s">
        <v>169</v>
      </c>
      <c r="L67" s="318"/>
      <c r="M67" s="319"/>
      <c r="N67" s="319"/>
      <c r="O67" s="319"/>
      <c r="P67" s="319"/>
      <c r="Q67" s="320"/>
      <c r="R67" s="321">
        <f>R64+R53+R40+R19</f>
        <v>36.485624999999999</v>
      </c>
      <c r="S67" s="96"/>
      <c r="T67" s="96"/>
      <c r="U67" s="317" t="s">
        <v>169</v>
      </c>
      <c r="V67" s="318"/>
      <c r="W67" s="319"/>
      <c r="X67" s="319"/>
      <c r="Y67" s="319"/>
      <c r="Z67" s="319"/>
      <c r="AA67" s="320"/>
      <c r="AB67" s="321">
        <f>AB64+AB53+AB40+AB19</f>
        <v>45.46875</v>
      </c>
    </row>
    <row r="68" spans="1:28" ht="16.5" thickTop="1">
      <c r="A68" s="71"/>
      <c r="B68" s="72"/>
      <c r="C68" s="72"/>
      <c r="D68" s="73"/>
      <c r="E68" s="73"/>
      <c r="F68" s="73"/>
      <c r="G68" s="74"/>
      <c r="H68" s="75"/>
      <c r="I68" s="73"/>
      <c r="J68" s="96"/>
      <c r="K68" s="71"/>
      <c r="L68" s="72"/>
      <c r="M68" s="72"/>
      <c r="N68" s="73"/>
      <c r="O68" s="73"/>
      <c r="P68" s="73"/>
      <c r="Q68" s="74"/>
      <c r="R68" s="75"/>
      <c r="S68" s="96"/>
      <c r="T68" s="96"/>
      <c r="U68" s="71"/>
      <c r="V68" s="72"/>
      <c r="W68" s="72"/>
      <c r="X68" s="73"/>
      <c r="Y68" s="73"/>
      <c r="Z68" s="73"/>
      <c r="AA68" s="74"/>
      <c r="AB68" s="75"/>
    </row>
    <row r="69" spans="1:28" ht="16.5" thickBot="1">
      <c r="A69" s="48"/>
      <c r="B69" s="132"/>
      <c r="C69" s="132"/>
      <c r="D69" s="132"/>
      <c r="E69" s="132"/>
      <c r="F69" s="132"/>
      <c r="G69" s="161"/>
      <c r="H69" s="133"/>
      <c r="I69" s="73"/>
      <c r="J69" s="96"/>
      <c r="K69" s="48"/>
      <c r="L69" s="132"/>
      <c r="M69" s="132"/>
      <c r="N69" s="132"/>
      <c r="O69" s="132"/>
      <c r="P69" s="132"/>
      <c r="Q69" s="161"/>
      <c r="R69" s="133"/>
      <c r="S69" s="96"/>
      <c r="T69" s="96"/>
      <c r="U69" s="48"/>
      <c r="V69" s="132"/>
      <c r="W69" s="132"/>
      <c r="X69" s="132"/>
      <c r="Y69" s="132"/>
      <c r="Z69" s="132"/>
      <c r="AA69" s="161"/>
      <c r="AB69" s="133"/>
    </row>
  </sheetData>
  <sheetProtection algorithmName="SHA-512" hashValue="/7VKiWeP7txVLdTYjS1hfYTOA6imlr5gqFoMHMvwkt0qrxgHKUKBf6nPVBeYSihnOJoUTMJumGvIxhMMxdXMfg==" saltValue="6oP4w2uW0GFeN4aeBhXXVw==" spinCount="100000" sheet="1" objects="1" scenarios="1"/>
  <dataConsolidate/>
  <mergeCells count="16">
    <mergeCell ref="A3:H3"/>
    <mergeCell ref="A22:H22"/>
    <mergeCell ref="A1:H1"/>
    <mergeCell ref="A43:H43"/>
    <mergeCell ref="K1:R1"/>
    <mergeCell ref="K3:R3"/>
    <mergeCell ref="K22:R22"/>
    <mergeCell ref="K43:R43"/>
    <mergeCell ref="J17:J18"/>
    <mergeCell ref="J38:J39"/>
    <mergeCell ref="T38:T39"/>
    <mergeCell ref="U1:AB1"/>
    <mergeCell ref="U3:AB3"/>
    <mergeCell ref="U22:AB22"/>
    <mergeCell ref="U43:AB43"/>
    <mergeCell ref="T17:T18"/>
  </mergeCells>
  <conditionalFormatting sqref="H21:I21 H11:I11">
    <cfRule type="dataBar" priority="75">
      <dataBar>
        <cfvo type="min"/>
        <cfvo type="max"/>
        <color rgb="FF63C384"/>
      </dataBar>
    </cfRule>
  </conditionalFormatting>
  <conditionalFormatting sqref="H6:I10">
    <cfRule type="dataBar" priority="74">
      <dataBar>
        <cfvo type="min"/>
        <cfvo type="max"/>
        <color rgb="FF63C384"/>
      </dataBar>
    </cfRule>
  </conditionalFormatting>
  <conditionalFormatting sqref="H20:I20 H13:I18">
    <cfRule type="dataBar" priority="70">
      <dataBar>
        <cfvo type="min"/>
        <cfvo type="max"/>
        <color rgb="FF63C384"/>
      </dataBar>
    </cfRule>
  </conditionalFormatting>
  <conditionalFormatting sqref="H30:I31">
    <cfRule type="dataBar" priority="69">
      <dataBar>
        <cfvo type="min"/>
        <cfvo type="max"/>
        <color rgb="FF63C384"/>
      </dataBar>
    </cfRule>
  </conditionalFormatting>
  <conditionalFormatting sqref="H25:I29">
    <cfRule type="dataBar" priority="68">
      <dataBar>
        <cfvo type="min"/>
        <cfvo type="max"/>
        <color rgb="FF63C384"/>
      </dataBar>
    </cfRule>
  </conditionalFormatting>
  <conditionalFormatting sqref="H55:I55">
    <cfRule type="dataBar" priority="65">
      <dataBar>
        <cfvo type="min"/>
        <cfvo type="max"/>
        <color rgb="FF63C384"/>
      </dataBar>
    </cfRule>
  </conditionalFormatting>
  <conditionalFormatting sqref="H57:I57 I58:I61">
    <cfRule type="dataBar" priority="64">
      <dataBar>
        <cfvo type="min"/>
        <cfvo type="max"/>
        <color rgb="FF63C384"/>
      </dataBar>
    </cfRule>
  </conditionalFormatting>
  <conditionalFormatting sqref="H39:I39">
    <cfRule type="dataBar" priority="63">
      <dataBar>
        <cfvo type="min"/>
        <cfvo type="max"/>
        <color rgb="FF63C384"/>
      </dataBar>
    </cfRule>
  </conditionalFormatting>
  <conditionalFormatting sqref="H38:I38">
    <cfRule type="dataBar" priority="62">
      <dataBar>
        <cfvo type="min"/>
        <cfvo type="max"/>
        <color rgb="FF63C384"/>
      </dataBar>
    </cfRule>
  </conditionalFormatting>
  <conditionalFormatting sqref="H46:I51 H54:I54">
    <cfRule type="dataBar" priority="203">
      <dataBar>
        <cfvo type="min"/>
        <cfvo type="max"/>
        <color rgb="FF63C384"/>
      </dataBar>
    </cfRule>
  </conditionalFormatting>
  <conditionalFormatting sqref="H52:I52">
    <cfRule type="dataBar" priority="61">
      <dataBar>
        <cfvo type="min"/>
        <cfvo type="max"/>
        <color rgb="FF63C384"/>
      </dataBar>
    </cfRule>
  </conditionalFormatting>
  <conditionalFormatting sqref="H62:I62">
    <cfRule type="dataBar" priority="60">
      <dataBar>
        <cfvo type="min"/>
        <cfvo type="max"/>
        <color rgb="FF63C384"/>
      </dataBar>
    </cfRule>
  </conditionalFormatting>
  <conditionalFormatting sqref="H63:I63">
    <cfRule type="dataBar" priority="59">
      <dataBar>
        <cfvo type="min"/>
        <cfvo type="max"/>
        <color rgb="FF63C384"/>
      </dataBar>
    </cfRule>
  </conditionalFormatting>
  <conditionalFormatting sqref="H33:I37 H42:I42">
    <cfRule type="dataBar" priority="219">
      <dataBar>
        <cfvo type="min"/>
        <cfvo type="max"/>
        <color rgb="FF63C384"/>
      </dataBar>
    </cfRule>
  </conditionalFormatting>
  <conditionalFormatting sqref="R11 R21">
    <cfRule type="dataBar" priority="56">
      <dataBar>
        <cfvo type="min"/>
        <cfvo type="max"/>
        <color rgb="FF63C384"/>
      </dataBar>
    </cfRule>
  </conditionalFormatting>
  <conditionalFormatting sqref="R6:R10">
    <cfRule type="dataBar" priority="55">
      <dataBar>
        <cfvo type="min"/>
        <cfvo type="max"/>
        <color rgb="FF63C384"/>
      </dataBar>
    </cfRule>
  </conditionalFormatting>
  <conditionalFormatting sqref="R18 R20">
    <cfRule type="dataBar" priority="54">
      <dataBar>
        <cfvo type="min"/>
        <cfvo type="max"/>
        <color rgb="FF63C384"/>
      </dataBar>
    </cfRule>
  </conditionalFormatting>
  <conditionalFormatting sqref="R30:R31">
    <cfRule type="dataBar" priority="53">
      <dataBar>
        <cfvo type="min"/>
        <cfvo type="max"/>
        <color rgb="FF63C384"/>
      </dataBar>
    </cfRule>
  </conditionalFormatting>
  <conditionalFormatting sqref="R55">
    <cfRule type="dataBar" priority="51">
      <dataBar>
        <cfvo type="min"/>
        <cfvo type="max"/>
        <color rgb="FF63C384"/>
      </dataBar>
    </cfRule>
  </conditionalFormatting>
  <conditionalFormatting sqref="R57">
    <cfRule type="dataBar" priority="50">
      <dataBar>
        <cfvo type="min"/>
        <cfvo type="max"/>
        <color rgb="FF63C384"/>
      </dataBar>
    </cfRule>
  </conditionalFormatting>
  <conditionalFormatting sqref="R39">
    <cfRule type="dataBar" priority="49">
      <dataBar>
        <cfvo type="min"/>
        <cfvo type="max"/>
        <color rgb="FF63C384"/>
      </dataBar>
    </cfRule>
  </conditionalFormatting>
  <conditionalFormatting sqref="R38">
    <cfRule type="dataBar" priority="48">
      <dataBar>
        <cfvo type="min"/>
        <cfvo type="max"/>
        <color rgb="FF63C384"/>
      </dataBar>
    </cfRule>
  </conditionalFormatting>
  <conditionalFormatting sqref="R46:R51 R54">
    <cfRule type="dataBar" priority="57">
      <dataBar>
        <cfvo type="min"/>
        <cfvo type="max"/>
        <color rgb="FF63C384"/>
      </dataBar>
    </cfRule>
  </conditionalFormatting>
  <conditionalFormatting sqref="R52">
    <cfRule type="dataBar" priority="47">
      <dataBar>
        <cfvo type="min"/>
        <cfvo type="max"/>
        <color rgb="FF63C384"/>
      </dataBar>
    </cfRule>
  </conditionalFormatting>
  <conditionalFormatting sqref="R62">
    <cfRule type="dataBar" priority="46">
      <dataBar>
        <cfvo type="min"/>
        <cfvo type="max"/>
        <color rgb="FF63C384"/>
      </dataBar>
    </cfRule>
  </conditionalFormatting>
  <conditionalFormatting sqref="R63">
    <cfRule type="dataBar" priority="45">
      <dataBar>
        <cfvo type="min"/>
        <cfvo type="max"/>
        <color rgb="FF63C384"/>
      </dataBar>
    </cfRule>
  </conditionalFormatting>
  <conditionalFormatting sqref="R42">
    <cfRule type="dataBar" priority="58">
      <dataBar>
        <cfvo type="min"/>
        <cfvo type="max"/>
        <color rgb="FF63C384"/>
      </dataBar>
    </cfRule>
  </conditionalFormatting>
  <conditionalFormatting sqref="AB11 AB21">
    <cfRule type="dataBar" priority="42">
      <dataBar>
        <cfvo type="min"/>
        <cfvo type="max"/>
        <color rgb="FF63C384"/>
      </dataBar>
    </cfRule>
  </conditionalFormatting>
  <conditionalFormatting sqref="AB6:AB10">
    <cfRule type="dataBar" priority="41">
      <dataBar>
        <cfvo type="min"/>
        <cfvo type="max"/>
        <color rgb="FF63C384"/>
      </dataBar>
    </cfRule>
  </conditionalFormatting>
  <conditionalFormatting sqref="AB18 AB20">
    <cfRule type="dataBar" priority="40">
      <dataBar>
        <cfvo type="min"/>
        <cfvo type="max"/>
        <color rgb="FF63C384"/>
      </dataBar>
    </cfRule>
  </conditionalFormatting>
  <conditionalFormatting sqref="AB30:AB31">
    <cfRule type="dataBar" priority="39">
      <dataBar>
        <cfvo type="min"/>
        <cfvo type="max"/>
        <color rgb="FF63C384"/>
      </dataBar>
    </cfRule>
  </conditionalFormatting>
  <conditionalFormatting sqref="AB39">
    <cfRule type="dataBar" priority="35">
      <dataBar>
        <cfvo type="min"/>
        <cfvo type="max"/>
        <color rgb="FF63C384"/>
      </dataBar>
    </cfRule>
  </conditionalFormatting>
  <conditionalFormatting sqref="AB38">
    <cfRule type="dataBar" priority="34">
      <dataBar>
        <cfvo type="min"/>
        <cfvo type="max"/>
        <color rgb="FF63C384"/>
      </dataBar>
    </cfRule>
  </conditionalFormatting>
  <conditionalFormatting sqref="AB42">
    <cfRule type="dataBar" priority="44">
      <dataBar>
        <cfvo type="min"/>
        <cfvo type="max"/>
        <color rgb="FF63C384"/>
      </dataBar>
    </cfRule>
  </conditionalFormatting>
  <conditionalFormatting sqref="R13:R17">
    <cfRule type="dataBar" priority="30">
      <dataBar>
        <cfvo type="min"/>
        <cfvo type="max"/>
        <color rgb="FF63C384"/>
      </dataBar>
    </cfRule>
  </conditionalFormatting>
  <conditionalFormatting sqref="R25">
    <cfRule type="dataBar" priority="26">
      <dataBar>
        <cfvo type="min"/>
        <cfvo type="max"/>
        <color rgb="FF63C384"/>
      </dataBar>
    </cfRule>
  </conditionalFormatting>
  <conditionalFormatting sqref="AB55">
    <cfRule type="dataBar" priority="24">
      <dataBar>
        <cfvo type="min"/>
        <cfvo type="max"/>
        <color rgb="FF63C384"/>
      </dataBar>
    </cfRule>
  </conditionalFormatting>
  <conditionalFormatting sqref="AB57">
    <cfRule type="dataBar" priority="23">
      <dataBar>
        <cfvo type="min"/>
        <cfvo type="max"/>
        <color rgb="FF63C384"/>
      </dataBar>
    </cfRule>
  </conditionalFormatting>
  <conditionalFormatting sqref="AB46:AB51 AB54">
    <cfRule type="dataBar" priority="25">
      <dataBar>
        <cfvo type="min"/>
        <cfvo type="max"/>
        <color rgb="FF63C384"/>
      </dataBar>
    </cfRule>
  </conditionalFormatting>
  <conditionalFormatting sqref="AB52">
    <cfRule type="dataBar" priority="22">
      <dataBar>
        <cfvo type="min"/>
        <cfvo type="max"/>
        <color rgb="FF63C384"/>
      </dataBar>
    </cfRule>
  </conditionalFormatting>
  <conditionalFormatting sqref="AB62">
    <cfRule type="dataBar" priority="21">
      <dataBar>
        <cfvo type="min"/>
        <cfvo type="max"/>
        <color rgb="FF63C384"/>
      </dataBar>
    </cfRule>
  </conditionalFormatting>
  <conditionalFormatting sqref="AB63">
    <cfRule type="dataBar" priority="20">
      <dataBar>
        <cfvo type="min"/>
        <cfvo type="max"/>
        <color rgb="FF63C384"/>
      </dataBar>
    </cfRule>
  </conditionalFormatting>
  <conditionalFormatting sqref="R33:R37">
    <cfRule type="dataBar" priority="18">
      <dataBar>
        <cfvo type="min"/>
        <cfvo type="max"/>
        <color rgb="FF63C384"/>
      </dataBar>
    </cfRule>
  </conditionalFormatting>
  <conditionalFormatting sqref="AB33:AB37">
    <cfRule type="dataBar" priority="16">
      <dataBar>
        <cfvo type="min"/>
        <cfvo type="max"/>
        <color rgb="FF63C384"/>
      </dataBar>
    </cfRule>
  </conditionalFormatting>
  <conditionalFormatting sqref="AB13:AB17">
    <cfRule type="dataBar" priority="15">
      <dataBar>
        <cfvo type="min"/>
        <cfvo type="max"/>
        <color rgb="FF63C384"/>
      </dataBar>
    </cfRule>
  </conditionalFormatting>
  <conditionalFormatting sqref="AB27:AB29">
    <cfRule type="dataBar" priority="14">
      <dataBar>
        <cfvo type="min"/>
        <cfvo type="max"/>
        <color rgb="FF63C384"/>
      </dataBar>
    </cfRule>
  </conditionalFormatting>
  <conditionalFormatting sqref="H58:H61">
    <cfRule type="dataBar" priority="7">
      <dataBar>
        <cfvo type="min"/>
        <cfvo type="max"/>
        <color rgb="FF63C384"/>
      </dataBar>
    </cfRule>
  </conditionalFormatting>
  <conditionalFormatting sqref="AB58:AB61">
    <cfRule type="dataBar" priority="5">
      <dataBar>
        <cfvo type="min"/>
        <cfvo type="max"/>
        <color rgb="FF63C384"/>
      </dataBar>
    </cfRule>
  </conditionalFormatting>
  <conditionalFormatting sqref="R58:R61">
    <cfRule type="dataBar" priority="4">
      <dataBar>
        <cfvo type="min"/>
        <cfvo type="max"/>
        <color rgb="FF63C384"/>
      </dataBar>
    </cfRule>
  </conditionalFormatting>
  <conditionalFormatting sqref="R26:R29">
    <cfRule type="dataBar" priority="3">
      <dataBar>
        <cfvo type="min"/>
        <cfvo type="max"/>
        <color rgb="FF63C384"/>
      </dataBar>
    </cfRule>
  </conditionalFormatting>
  <conditionalFormatting sqref="AB26">
    <cfRule type="dataBar" priority="2">
      <dataBar>
        <cfvo type="min"/>
        <cfvo type="max"/>
        <color rgb="FF63C384"/>
      </dataBar>
    </cfRule>
  </conditionalFormatting>
  <conditionalFormatting sqref="AB25">
    <cfRule type="dataBar" priority="1">
      <dataBar>
        <cfvo type="min"/>
        <cfvo type="max"/>
        <color rgb="FF63C384"/>
      </dataBar>
    </cfRule>
  </conditionalFormatting>
  <dataValidations count="4">
    <dataValidation type="list" allowBlank="1" showInputMessage="1" showErrorMessage="1" sqref="A42:B42 B52 U55 A20:B20 B39 U52:V52 K42:L42 L63 V63 K20:L20 L39 V39 U42:V42 U20:V20" xr:uid="{00000000-0002-0000-0300-000000000000}">
      <formula1>$A$32:$A$42</formula1>
    </dataValidation>
    <dataValidation type="list" allowBlank="1" showInputMessage="1" showErrorMessage="1" sqref="L38 B38 V38" xr:uid="{00000000-0002-0000-0300-000001000000}">
      <formula1>$A$47:$A$57</formula1>
    </dataValidation>
    <dataValidation type="list" allowBlank="1" showInputMessage="1" showErrorMessage="1" sqref="B33:B37 L33:L37 V33:V37 V13:V17 U18:V18 K18:L18 L13:L17" xr:uid="{00000000-0002-0000-0300-000002000000}">
      <formula1>$A$83:$A$89</formula1>
    </dataValidation>
    <dataValidation type="list" allowBlank="1" showInputMessage="1" showErrorMessage="1" sqref="L62 U54 U51:V51 V62" xr:uid="{00000000-0002-0000-0300-000003000000}">
      <formula1>$A$93:$A$100</formula1>
    </dataValidation>
  </dataValidations>
  <printOptions horizontalCentered="1"/>
  <pageMargins left="0.7" right="0.7" top="0.75" bottom="0.75" header="0.3" footer="0.3"/>
  <pageSetup scale="61" orientation="portrait" r:id="rId1"/>
  <colBreaks count="1" manualBreakCount="1">
    <brk id="10" max="1048575" man="1"/>
  </colBreaks>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300-000005000000}">
          <x14:formula1>
            <xm:f>'Chemical List (Corn)'!$A$91:$A$97</xm:f>
          </x14:formula1>
          <xm:sqref>K13:K17 A33:A37 K33:K37 U33:U37 U13:U17 A13:B18</xm:sqref>
        </x14:dataValidation>
        <x14:dataValidation type="list" allowBlank="1" showInputMessage="1" showErrorMessage="1" xr:uid="{00000000-0002-0000-0300-000006000000}">
          <x14:formula1>
            <xm:f>'Chemical List (Corn)'!$A$4:$A$45</xm:f>
          </x14:formula1>
          <xm:sqref>A6:A10</xm:sqref>
        </x14:dataValidation>
        <x14:dataValidation type="list" allowBlank="1" showInputMessage="1" showErrorMessage="1" xr:uid="{00000000-0002-0000-0300-000007000000}">
          <x14:formula1>
            <xm:f>'Chemical List (Corn)'!$A$48:$A$88</xm:f>
          </x14:formula1>
          <xm:sqref>A25:A29</xm:sqref>
        </x14:dataValidation>
        <x14:dataValidation type="list" allowBlank="1" showInputMessage="1" showErrorMessage="1" xr:uid="{00000000-0002-0000-0300-00000B000000}">
          <x14:formula1>
            <xm:f>'Chemical List (Corn)'!$A$101:$A$116</xm:f>
          </x14:formula1>
          <xm:sqref>A46:A50</xm:sqref>
        </x14:dataValidation>
        <x14:dataValidation type="list" allowBlank="1" showInputMessage="1" showErrorMessage="1" xr:uid="{00000000-0002-0000-0300-00000E000000}">
          <x14:formula1>
            <xm:f>'Chemical List (Corn)'!$A$131:$A$173</xm:f>
          </x14:formula1>
          <xm:sqref>A57:A61</xm:sqref>
        </x14:dataValidation>
        <x14:dataValidation type="list" allowBlank="1" showInputMessage="1" showErrorMessage="1" xr:uid="{77BCDC8F-E118-48A1-8BED-EC6076E3E84A}">
          <x14:formula1>
            <xm:f>'Chemical List (Soys)'!$A$52:$A$85</xm:f>
          </x14:formula1>
          <xm:sqref>K25:K29</xm:sqref>
        </x14:dataValidation>
        <x14:dataValidation type="list" allowBlank="1" showInputMessage="1" showErrorMessage="1" xr:uid="{8ECA4679-0048-41D8-A66B-095BC7A67CCD}">
          <x14:formula1>
            <xm:f>'Chemical List (Soys)'!$A$103:$A$120</xm:f>
          </x14:formula1>
          <xm:sqref>K46:K50</xm:sqref>
        </x14:dataValidation>
        <x14:dataValidation type="list" allowBlank="1" showInputMessage="1" showErrorMessage="1" xr:uid="{D89BAEBB-BFC1-48FF-8C58-29977D010628}">
          <x14:formula1>
            <xm:f>'Chemical List (Soys)'!$A$133:$A$171</xm:f>
          </x14:formula1>
          <xm:sqref>K57:K61</xm:sqref>
        </x14:dataValidation>
        <x14:dataValidation type="list" allowBlank="1" showInputMessage="1" showErrorMessage="1" xr:uid="{CA677D68-5B37-4C19-B4E4-76D37D4E3C98}">
          <x14:formula1>
            <xm:f>'Chemical List (Wheat)'!$A$4:$A$27</xm:f>
          </x14:formula1>
          <xm:sqref>U6:U10 U25:U29</xm:sqref>
        </x14:dataValidation>
        <x14:dataValidation type="list" allowBlank="1" showInputMessage="1" showErrorMessage="1" xr:uid="{2A1520D5-E476-49B5-A379-D3BDC436FEFF}">
          <x14:formula1>
            <xm:f>'Chemical List (Wheat)'!$A$31:$A$48</xm:f>
          </x14:formula1>
          <xm:sqref>U46:U50</xm:sqref>
        </x14:dataValidation>
        <x14:dataValidation type="list" allowBlank="1" showInputMessage="1" showErrorMessage="1" xr:uid="{3F29879D-9123-4E79-8DBA-E3C943CCFCED}">
          <x14:formula1>
            <xm:f>'Chemical List (Wheat)'!$A$61:$A$72</xm:f>
          </x14:formula1>
          <xm:sqref>U57</xm:sqref>
        </x14:dataValidation>
        <x14:dataValidation type="list" allowBlank="1" showInputMessage="1" showErrorMessage="1" xr:uid="{00000000-0002-0000-0300-00000F000000}">
          <x14:formula1>
            <xm:f>'Chemical List (Corn)'!#REF!</xm:f>
          </x14:formula1>
          <xm:sqref>U58:U61</xm:sqref>
        </x14:dataValidation>
        <x14:dataValidation type="list" allowBlank="1" showInputMessage="1" showErrorMessage="1" xr:uid="{F3C5261E-5701-4F43-BC3F-2B70D52C3724}">
          <x14:formula1>
            <xm:f>'Chemical List (Soys)'!$A$4:$A$50</xm:f>
          </x14:formula1>
          <xm:sqref>K6:K10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dimension ref="A1:L33"/>
  <sheetViews>
    <sheetView zoomScale="80" zoomScaleNormal="80" workbookViewId="0">
      <selection activeCell="A28" sqref="A28"/>
    </sheetView>
  </sheetViews>
  <sheetFormatPr defaultColWidth="9.140625" defaultRowHeight="15"/>
  <cols>
    <col min="1" max="1" width="28.85546875" style="22" customWidth="1"/>
    <col min="2" max="2" width="18.85546875" style="22" bestFit="1" customWidth="1"/>
    <col min="3" max="3" width="16.7109375" style="22" bestFit="1" customWidth="1"/>
    <col min="4" max="4" width="11.140625" style="22" bestFit="1" customWidth="1"/>
    <col min="5" max="6" width="9.140625" style="22"/>
    <col min="7" max="7" width="10" style="22" bestFit="1" customWidth="1"/>
    <col min="8" max="8" width="21" style="22" bestFit="1" customWidth="1"/>
    <col min="9" max="9" width="22.140625" style="22" bestFit="1" customWidth="1"/>
    <col min="10" max="10" width="7.28515625" style="22" bestFit="1" customWidth="1"/>
    <col min="11" max="11" width="2" style="22" bestFit="1" customWidth="1"/>
    <col min="12" max="12" width="9.140625" style="22" bestFit="1" customWidth="1"/>
    <col min="13" max="16384" width="9.140625" style="22"/>
  </cols>
  <sheetData>
    <row r="1" spans="1:12" ht="18.75">
      <c r="A1" s="888" t="s">
        <v>270</v>
      </c>
      <c r="B1" s="888"/>
      <c r="C1" s="888"/>
      <c r="D1" s="888"/>
      <c r="E1" s="888"/>
      <c r="F1" s="888"/>
      <c r="G1" s="888"/>
      <c r="H1" s="888"/>
      <c r="I1" s="888"/>
      <c r="J1" s="888"/>
      <c r="K1" s="888"/>
      <c r="L1" s="888"/>
    </row>
    <row r="2" spans="1:12" ht="18.75">
      <c r="A2" s="169"/>
      <c r="B2" s="169"/>
      <c r="C2" s="169"/>
      <c r="D2" s="169"/>
      <c r="E2" s="169"/>
      <c r="F2" s="169"/>
      <c r="G2" s="169"/>
      <c r="H2" s="169"/>
      <c r="I2" s="169"/>
      <c r="J2" s="169"/>
      <c r="K2" s="169"/>
      <c r="L2" s="169"/>
    </row>
    <row r="3" spans="1:12">
      <c r="A3" s="84" t="s">
        <v>292</v>
      </c>
      <c r="B3" s="99" t="s">
        <v>153</v>
      </c>
      <c r="C3" s="99" t="s">
        <v>153</v>
      </c>
      <c r="D3" s="19"/>
      <c r="E3" s="19"/>
      <c r="F3" s="19"/>
      <c r="G3" s="84" t="s">
        <v>25</v>
      </c>
      <c r="H3" s="19"/>
      <c r="I3" s="19"/>
      <c r="J3" s="19"/>
      <c r="K3" s="19"/>
      <c r="L3" s="19"/>
    </row>
    <row r="4" spans="1:12">
      <c r="A4" s="84"/>
      <c r="B4" s="100" t="s">
        <v>271</v>
      </c>
      <c r="C4" s="100" t="s">
        <v>272</v>
      </c>
      <c r="D4" s="101" t="s">
        <v>273</v>
      </c>
      <c r="E4" s="19"/>
      <c r="F4" s="19"/>
      <c r="G4" s="19">
        <v>128</v>
      </c>
      <c r="H4" s="19" t="s">
        <v>274</v>
      </c>
      <c r="I4" s="19"/>
      <c r="J4" s="19"/>
      <c r="K4" s="19"/>
      <c r="L4" s="19"/>
    </row>
    <row r="5" spans="1:12">
      <c r="A5" s="84"/>
      <c r="B5" s="453">
        <v>20</v>
      </c>
      <c r="C5" s="453">
        <v>100</v>
      </c>
      <c r="D5" s="103">
        <f>C5/B5</f>
        <v>5</v>
      </c>
      <c r="E5" s="19"/>
      <c r="F5" s="19"/>
      <c r="G5" s="19">
        <v>4</v>
      </c>
      <c r="H5" s="19" t="s">
        <v>32</v>
      </c>
      <c r="I5" s="19"/>
      <c r="J5" s="19"/>
      <c r="K5" s="19"/>
      <c r="L5" s="19"/>
    </row>
    <row r="6" spans="1:12">
      <c r="A6" s="84"/>
      <c r="B6" s="100"/>
      <c r="C6" s="100"/>
      <c r="D6" s="100"/>
      <c r="E6" s="19"/>
      <c r="F6" s="19"/>
      <c r="G6" s="19">
        <v>8</v>
      </c>
      <c r="H6" s="19" t="s">
        <v>275</v>
      </c>
      <c r="I6" s="19"/>
      <c r="J6" s="19"/>
      <c r="K6" s="19"/>
      <c r="L6" s="19"/>
    </row>
    <row r="7" spans="1:12">
      <c r="A7" s="84"/>
      <c r="B7" s="100" t="s">
        <v>276</v>
      </c>
      <c r="C7" s="100" t="s">
        <v>277</v>
      </c>
      <c r="D7" s="102" t="s">
        <v>278</v>
      </c>
      <c r="E7" s="19"/>
      <c r="F7" s="19"/>
      <c r="G7" s="19"/>
      <c r="H7" s="19"/>
      <c r="I7" s="19"/>
      <c r="J7" s="19"/>
      <c r="K7" s="19"/>
      <c r="L7" s="19"/>
    </row>
    <row r="8" spans="1:12">
      <c r="A8" s="84"/>
      <c r="B8" s="453">
        <v>8.5</v>
      </c>
      <c r="C8" s="103">
        <f>D5</f>
        <v>5</v>
      </c>
      <c r="D8" s="104">
        <f>B8/C8</f>
        <v>1.7</v>
      </c>
      <c r="E8" s="19"/>
      <c r="F8" s="19"/>
      <c r="G8" s="84" t="s">
        <v>279</v>
      </c>
      <c r="H8" s="19"/>
      <c r="I8" s="19"/>
      <c r="J8" s="19"/>
      <c r="K8" s="19"/>
      <c r="L8" s="19"/>
    </row>
    <row r="9" spans="1:12">
      <c r="A9" s="84"/>
      <c r="B9" s="19"/>
      <c r="C9" s="105"/>
      <c r="D9" s="106"/>
      <c r="E9" s="19"/>
      <c r="F9" s="19"/>
      <c r="G9" s="19">
        <v>16</v>
      </c>
      <c r="H9" s="19" t="s">
        <v>274</v>
      </c>
      <c r="I9" s="19"/>
      <c r="J9" s="19"/>
      <c r="K9" s="19"/>
      <c r="L9" s="19"/>
    </row>
    <row r="10" spans="1:12">
      <c r="A10" s="84" t="s">
        <v>291</v>
      </c>
      <c r="B10" s="99" t="s">
        <v>153</v>
      </c>
      <c r="C10" s="99" t="s">
        <v>153</v>
      </c>
      <c r="D10" s="19"/>
      <c r="E10" s="19"/>
      <c r="F10" s="19"/>
      <c r="G10" s="19"/>
      <c r="H10" s="19"/>
      <c r="I10" s="19"/>
      <c r="J10" s="19"/>
      <c r="K10" s="19"/>
      <c r="L10" s="19"/>
    </row>
    <row r="11" spans="1:12">
      <c r="A11" s="84"/>
      <c r="B11" s="100" t="s">
        <v>271</v>
      </c>
      <c r="C11" s="100" t="s">
        <v>272</v>
      </c>
      <c r="D11" s="101" t="s">
        <v>273</v>
      </c>
      <c r="E11" s="19"/>
      <c r="F11" s="19"/>
      <c r="G11" s="19"/>
      <c r="H11" s="19"/>
      <c r="I11" s="19"/>
      <c r="J11" s="19"/>
      <c r="K11" s="19"/>
      <c r="L11" s="19"/>
    </row>
    <row r="12" spans="1:12" ht="16.5">
      <c r="A12" s="84"/>
      <c r="B12" s="453">
        <v>15</v>
      </c>
      <c r="C12" s="453">
        <v>100</v>
      </c>
      <c r="D12" s="103">
        <f>C12/B12</f>
        <v>6.666666666666667</v>
      </c>
      <c r="E12" s="19"/>
      <c r="F12" s="19"/>
      <c r="G12" s="107" t="s">
        <v>280</v>
      </c>
      <c r="H12" s="19" t="s">
        <v>281</v>
      </c>
      <c r="I12" s="19" t="s">
        <v>282</v>
      </c>
      <c r="J12" s="19" t="s">
        <v>283</v>
      </c>
      <c r="K12" s="19"/>
      <c r="L12" s="19"/>
    </row>
    <row r="13" spans="1:12">
      <c r="A13" s="84"/>
      <c r="B13" s="100"/>
      <c r="C13" s="100"/>
      <c r="D13" s="100"/>
      <c r="E13" s="19"/>
      <c r="F13" s="19"/>
      <c r="G13" s="19">
        <v>0.125</v>
      </c>
      <c r="H13" s="100">
        <v>100</v>
      </c>
      <c r="I13" s="100">
        <v>1.25E-3</v>
      </c>
      <c r="J13" s="19">
        <v>0.125</v>
      </c>
      <c r="K13" s="100" t="s">
        <v>284</v>
      </c>
      <c r="L13" s="19" t="s">
        <v>285</v>
      </c>
    </row>
    <row r="14" spans="1:12">
      <c r="A14" s="84"/>
      <c r="B14" s="100" t="s">
        <v>286</v>
      </c>
      <c r="C14" s="100" t="s">
        <v>277</v>
      </c>
      <c r="D14" s="102" t="s">
        <v>278</v>
      </c>
      <c r="E14" s="19"/>
      <c r="F14" s="19"/>
      <c r="G14" s="19">
        <v>0.25</v>
      </c>
      <c r="H14" s="100">
        <v>100</v>
      </c>
      <c r="I14" s="100">
        <v>2.5000000000000001E-3</v>
      </c>
      <c r="J14" s="19">
        <v>0.25</v>
      </c>
      <c r="K14" s="100" t="s">
        <v>284</v>
      </c>
      <c r="L14" s="19" t="s">
        <v>287</v>
      </c>
    </row>
    <row r="15" spans="1:12">
      <c r="A15" s="84"/>
      <c r="B15" s="454">
        <v>16</v>
      </c>
      <c r="C15" s="103">
        <f>D12</f>
        <v>6.666666666666667</v>
      </c>
      <c r="D15" s="104">
        <f>B15/C15</f>
        <v>2.4</v>
      </c>
      <c r="E15" s="19"/>
      <c r="F15" s="19"/>
      <c r="G15" s="19">
        <v>0.5</v>
      </c>
      <c r="H15" s="100">
        <v>100</v>
      </c>
      <c r="I15" s="100">
        <v>5.0000000000000001E-3</v>
      </c>
      <c r="J15" s="19">
        <v>0.5</v>
      </c>
      <c r="K15" s="100" t="s">
        <v>284</v>
      </c>
      <c r="L15" s="19" t="s">
        <v>288</v>
      </c>
    </row>
    <row r="16" spans="1:12">
      <c r="A16" s="19"/>
      <c r="B16" s="19"/>
      <c r="C16" s="19"/>
      <c r="D16" s="19"/>
      <c r="E16" s="19"/>
      <c r="F16" s="19"/>
      <c r="G16" s="19">
        <v>1</v>
      </c>
      <c r="H16" s="100">
        <v>100</v>
      </c>
      <c r="I16" s="100">
        <v>0.01</v>
      </c>
      <c r="J16" s="19">
        <v>1</v>
      </c>
      <c r="K16" s="100" t="s">
        <v>284</v>
      </c>
      <c r="L16" s="19" t="s">
        <v>289</v>
      </c>
    </row>
    <row r="17" spans="1:12">
      <c r="A17" s="84" t="s">
        <v>293</v>
      </c>
      <c r="B17" s="99" t="s">
        <v>153</v>
      </c>
      <c r="C17" s="99" t="s">
        <v>153</v>
      </c>
      <c r="D17" s="19"/>
      <c r="E17" s="19"/>
      <c r="F17" s="19"/>
      <c r="G17" s="19"/>
      <c r="H17" s="19"/>
      <c r="I17" s="19"/>
      <c r="J17" s="19"/>
      <c r="K17" s="19"/>
      <c r="L17" s="19"/>
    </row>
    <row r="18" spans="1:12">
      <c r="A18" s="19" t="s">
        <v>294</v>
      </c>
      <c r="B18" s="19" t="s">
        <v>271</v>
      </c>
      <c r="C18" s="19" t="s">
        <v>272</v>
      </c>
      <c r="D18" s="101" t="s">
        <v>273</v>
      </c>
      <c r="E18" s="19"/>
      <c r="F18" s="19"/>
      <c r="G18" s="19"/>
      <c r="H18" s="19"/>
      <c r="I18" s="19"/>
      <c r="J18" s="19"/>
      <c r="K18" s="19"/>
      <c r="L18" s="19"/>
    </row>
    <row r="19" spans="1:12">
      <c r="A19" s="19"/>
      <c r="B19" s="453">
        <v>20</v>
      </c>
      <c r="C19" s="453">
        <v>100</v>
      </c>
      <c r="D19" s="103">
        <f>C19/B19</f>
        <v>5</v>
      </c>
      <c r="E19" s="19"/>
      <c r="F19" s="19"/>
      <c r="G19" s="19"/>
      <c r="H19" s="19"/>
      <c r="I19" s="19"/>
      <c r="J19" s="19"/>
      <c r="K19" s="19"/>
      <c r="L19" s="19"/>
    </row>
    <row r="20" spans="1:12">
      <c r="A20" s="19"/>
      <c r="B20" s="100"/>
      <c r="C20" s="100"/>
      <c r="D20" s="100"/>
      <c r="E20" s="19"/>
      <c r="F20" s="19"/>
      <c r="G20" s="19"/>
      <c r="H20" s="19"/>
      <c r="I20" s="19"/>
      <c r="J20" s="19"/>
      <c r="K20" s="19"/>
      <c r="L20" s="19"/>
    </row>
    <row r="21" spans="1:12">
      <c r="A21" s="19"/>
      <c r="B21" s="100" t="s">
        <v>290</v>
      </c>
      <c r="C21" s="100" t="s">
        <v>277</v>
      </c>
      <c r="D21" s="102" t="s">
        <v>278</v>
      </c>
      <c r="E21" s="19"/>
      <c r="F21" s="19"/>
      <c r="G21" s="19"/>
      <c r="H21" s="19"/>
      <c r="I21" s="19"/>
      <c r="J21" s="19"/>
      <c r="K21" s="19"/>
      <c r="L21" s="19"/>
    </row>
    <row r="22" spans="1:12">
      <c r="A22" s="19"/>
      <c r="B22" s="453">
        <v>2</v>
      </c>
      <c r="C22" s="103">
        <f>D19</f>
        <v>5</v>
      </c>
      <c r="D22" s="104">
        <f>B22/C22</f>
        <v>0.4</v>
      </c>
      <c r="E22" s="19"/>
      <c r="F22" s="19"/>
      <c r="G22" s="19"/>
      <c r="H22" s="19"/>
      <c r="I22" s="19"/>
      <c r="J22" s="19"/>
      <c r="K22" s="19"/>
      <c r="L22" s="19"/>
    </row>
    <row r="23" spans="1:12">
      <c r="A23" s="42"/>
      <c r="B23" s="42"/>
      <c r="C23" s="42"/>
      <c r="D23" s="42"/>
      <c r="E23" s="42"/>
      <c r="F23" s="42"/>
      <c r="G23" s="42"/>
      <c r="H23" s="42"/>
      <c r="I23" s="42"/>
      <c r="J23" s="42"/>
      <c r="K23" s="42"/>
      <c r="L23" s="42"/>
    </row>
    <row r="24" spans="1:12">
      <c r="A24" s="42"/>
      <c r="B24" s="42"/>
      <c r="C24" s="42"/>
      <c r="D24" s="42"/>
      <c r="E24" s="42"/>
      <c r="F24" s="42"/>
      <c r="G24" s="42"/>
      <c r="H24" s="42"/>
      <c r="I24" s="42"/>
      <c r="J24" s="42"/>
      <c r="K24" s="42"/>
      <c r="L24" s="42"/>
    </row>
    <row r="25" spans="1:12">
      <c r="A25" s="42"/>
      <c r="B25" s="42"/>
      <c r="C25" s="42"/>
      <c r="D25" s="42"/>
      <c r="E25" s="42"/>
      <c r="F25" s="42"/>
      <c r="G25" s="42"/>
      <c r="H25" s="42"/>
      <c r="I25" s="42"/>
      <c r="J25" s="42"/>
      <c r="K25" s="42"/>
      <c r="L25" s="42"/>
    </row>
    <row r="26" spans="1:12" ht="21">
      <c r="A26" s="887" t="s">
        <v>420</v>
      </c>
      <c r="B26" s="887"/>
      <c r="C26" s="887"/>
      <c r="D26" s="887"/>
      <c r="E26" s="887"/>
      <c r="F26" s="887"/>
      <c r="G26" s="887"/>
      <c r="H26" s="887"/>
      <c r="I26" s="887"/>
      <c r="J26" s="887"/>
      <c r="K26" s="887"/>
      <c r="L26" s="887"/>
    </row>
    <row r="27" spans="1:12">
      <c r="A27" s="42"/>
      <c r="B27" s="42"/>
      <c r="C27" s="42"/>
      <c r="D27" s="42"/>
      <c r="E27" s="42"/>
      <c r="F27" s="42"/>
      <c r="G27" s="42"/>
      <c r="H27" s="42"/>
      <c r="I27" s="42"/>
      <c r="J27" s="42"/>
      <c r="K27" s="42"/>
      <c r="L27" s="42"/>
    </row>
    <row r="28" spans="1:12">
      <c r="A28" s="42"/>
      <c r="B28" s="42"/>
      <c r="C28" s="42"/>
      <c r="D28" s="42"/>
      <c r="E28" s="42"/>
      <c r="F28" s="42"/>
      <c r="G28" s="42"/>
      <c r="H28" s="42"/>
      <c r="I28" s="42"/>
      <c r="J28" s="42"/>
      <c r="K28" s="42"/>
      <c r="L28" s="42"/>
    </row>
    <row r="29" spans="1:12">
      <c r="A29" s="42"/>
      <c r="B29" s="42"/>
      <c r="C29" s="42"/>
      <c r="D29" s="42"/>
      <c r="E29" s="42"/>
      <c r="F29" s="42"/>
      <c r="G29" s="42"/>
      <c r="H29" s="42"/>
      <c r="I29" s="42"/>
      <c r="J29" s="42"/>
      <c r="K29" s="42"/>
      <c r="L29" s="42"/>
    </row>
    <row r="30" spans="1:12" ht="15.75">
      <c r="A30" s="314" t="s">
        <v>571</v>
      </c>
      <c r="B30" s="42"/>
      <c r="C30" s="42"/>
      <c r="E30" s="42"/>
      <c r="F30" s="42"/>
      <c r="G30" s="42"/>
      <c r="H30" s="42"/>
      <c r="I30" s="42"/>
      <c r="J30" s="42"/>
      <c r="K30" s="42"/>
      <c r="L30" s="42"/>
    </row>
    <row r="31" spans="1:12">
      <c r="A31" s="42" t="s">
        <v>570</v>
      </c>
      <c r="B31" s="42"/>
      <c r="C31" s="42"/>
      <c r="E31" s="889" t="s">
        <v>489</v>
      </c>
      <c r="F31" s="889"/>
      <c r="G31" s="889"/>
      <c r="H31" s="889"/>
      <c r="I31" s="42"/>
      <c r="J31" s="42"/>
      <c r="K31" s="42"/>
      <c r="L31" s="42"/>
    </row>
    <row r="32" spans="1:12">
      <c r="A32" s="22" t="s">
        <v>567</v>
      </c>
      <c r="E32" s="890" t="s">
        <v>568</v>
      </c>
      <c r="F32" s="890"/>
      <c r="G32" s="890"/>
      <c r="H32" s="890"/>
    </row>
    <row r="33" spans="1:8">
      <c r="A33" s="22" t="s">
        <v>567</v>
      </c>
      <c r="E33" s="890" t="s">
        <v>569</v>
      </c>
      <c r="F33" s="890"/>
      <c r="G33" s="890"/>
      <c r="H33" s="890"/>
    </row>
  </sheetData>
  <sheetProtection algorithmName="SHA-512" hashValue="fceRQ887wP7eqaHbghLlHBdmB4bmR6ZoIc/jE7qFVq5Dd7fTygUKKLE88M6J124FdlvwnJDW78O01Z+KmY5c5Q==" saltValue="LMk9JsjyDTXMtjiRyDNHYg==" spinCount="100000" sheet="1" objects="1" scenarios="1"/>
  <mergeCells count="5">
    <mergeCell ref="A26:L26"/>
    <mergeCell ref="A1:L1"/>
    <mergeCell ref="E31:H31"/>
    <mergeCell ref="E32:H32"/>
    <mergeCell ref="E33:H33"/>
  </mergeCells>
  <hyperlinks>
    <hyperlink ref="E31" r:id="rId1" xr:uid="{00000000-0004-0000-0500-000000000000}"/>
    <hyperlink ref="E32" r:id="rId2" display="E-1582 (Corn Section)" xr:uid="{00000000-0004-0000-0500-000001000000}"/>
    <hyperlink ref="E33" r:id="rId3" display="http://msuent.com/assets/pdf/1582SoybeanInsects10.pdf" xr:uid="{00000000-0004-0000-0500-000002000000}"/>
    <hyperlink ref="E31:H31" r:id="rId4" display="Link to MSU Weed Control Guide" xr:uid="{B459EE45-FBED-462C-AC98-ED785225373C}"/>
  </hyperlinks>
  <printOptions horizontalCentered="1"/>
  <pageMargins left="0.7" right="0.7" top="0.75" bottom="0.75" header="0.3" footer="0.3"/>
  <pageSetup scale="62" orientation="landscape" verticalDpi="0"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2068E-9689-481A-9EA3-FF16CFAC3FDB}">
  <sheetPr codeName="Sheet2"/>
  <dimension ref="B1:Y63"/>
  <sheetViews>
    <sheetView topLeftCell="B1" zoomScale="80" zoomScaleNormal="80" workbookViewId="0">
      <selection activeCell="Q12" sqref="Q12"/>
    </sheetView>
  </sheetViews>
  <sheetFormatPr defaultColWidth="8.85546875" defaultRowHeight="18.75"/>
  <cols>
    <col min="1" max="1" width="8.85546875" style="686"/>
    <col min="2" max="2" width="32.7109375" style="686" bestFit="1" customWidth="1"/>
    <col min="3" max="5" width="12.85546875" style="686" bestFit="1" customWidth="1"/>
    <col min="6" max="6" width="8.85546875" style="686"/>
    <col min="7" max="9" width="12.85546875" style="686" bestFit="1" customWidth="1"/>
    <col min="10" max="10" width="8.85546875" style="686"/>
    <col min="11" max="13" width="12.85546875" style="686" bestFit="1" customWidth="1"/>
    <col min="14" max="16" width="8.85546875" style="686"/>
    <col min="17" max="17" width="10.42578125" style="686" bestFit="1" customWidth="1"/>
    <col min="18" max="18" width="8.7109375" style="686" customWidth="1"/>
    <col min="19" max="19" width="12.7109375" style="686" bestFit="1" customWidth="1"/>
    <col min="20" max="20" width="9.42578125" style="686" customWidth="1"/>
    <col min="21" max="21" width="14.140625" style="686" customWidth="1"/>
    <col min="22" max="22" width="6" style="686" bestFit="1" customWidth="1"/>
    <col min="23" max="16384" width="8.85546875" style="686"/>
  </cols>
  <sheetData>
    <row r="1" spans="2:25" ht="19.5" thickBot="1">
      <c r="C1" s="891" t="s">
        <v>721</v>
      </c>
      <c r="D1" s="892"/>
      <c r="E1" s="892"/>
      <c r="F1" s="892"/>
      <c r="G1" s="892"/>
      <c r="H1" s="892"/>
      <c r="I1" s="892"/>
      <c r="J1" s="892"/>
      <c r="K1" s="892"/>
      <c r="L1" s="892"/>
      <c r="M1" s="893"/>
      <c r="Q1" s="315" t="s">
        <v>571</v>
      </c>
      <c r="S1" s="77"/>
      <c r="T1" s="77"/>
      <c r="U1" s="77"/>
      <c r="V1" s="77"/>
      <c r="W1" s="77"/>
      <c r="X1" s="77"/>
      <c r="Y1" s="77"/>
    </row>
    <row r="2" spans="2:25" ht="19.5" thickBot="1">
      <c r="C2" s="689"/>
      <c r="D2" s="690"/>
      <c r="E2" s="691"/>
      <c r="G2" s="689"/>
      <c r="H2" s="690"/>
      <c r="I2" s="691"/>
      <c r="K2" s="689"/>
      <c r="L2" s="690"/>
      <c r="M2" s="691"/>
      <c r="Q2" s="316" t="s">
        <v>573</v>
      </c>
      <c r="S2" s="77"/>
      <c r="T2" s="77"/>
      <c r="U2" s="77"/>
      <c r="V2" s="77"/>
      <c r="W2" s="77"/>
      <c r="X2" s="77"/>
      <c r="Y2" s="77"/>
    </row>
    <row r="3" spans="2:25" ht="19.5" thickBot="1">
      <c r="C3" s="894" t="s">
        <v>78</v>
      </c>
      <c r="D3" s="895"/>
      <c r="E3" s="896"/>
      <c r="G3" s="894" t="s">
        <v>137</v>
      </c>
      <c r="H3" s="895"/>
      <c r="I3" s="896"/>
      <c r="K3" s="894" t="s">
        <v>138</v>
      </c>
      <c r="L3" s="895"/>
      <c r="M3" s="896"/>
      <c r="Q3" s="906" t="s">
        <v>574</v>
      </c>
      <c r="R3" s="906"/>
      <c r="S3" s="906"/>
      <c r="T3" s="906"/>
      <c r="U3" s="906"/>
      <c r="V3" s="906"/>
      <c r="W3" s="906"/>
      <c r="X3" s="906"/>
      <c r="Y3" s="706"/>
    </row>
    <row r="4" spans="2:25">
      <c r="C4" s="689"/>
      <c r="D4" s="690"/>
      <c r="E4" s="691"/>
      <c r="G4" s="689"/>
      <c r="H4" s="690"/>
      <c r="I4" s="691"/>
      <c r="K4" s="689"/>
      <c r="L4" s="690"/>
      <c r="M4" s="691"/>
      <c r="Q4" s="288" t="s">
        <v>775</v>
      </c>
    </row>
    <row r="5" spans="2:25">
      <c r="B5" s="778" t="s">
        <v>722</v>
      </c>
      <c r="C5" s="897" t="s">
        <v>723</v>
      </c>
      <c r="D5" s="898"/>
      <c r="E5" s="898"/>
      <c r="F5" s="898"/>
      <c r="G5" s="898"/>
      <c r="H5" s="898"/>
      <c r="I5" s="898"/>
      <c r="J5" s="898"/>
      <c r="K5" s="898"/>
      <c r="L5" s="898"/>
      <c r="M5" s="899"/>
    </row>
    <row r="6" spans="2:25">
      <c r="B6" s="777"/>
      <c r="C6" s="461" t="s">
        <v>153</v>
      </c>
      <c r="D6" s="461" t="s">
        <v>153</v>
      </c>
      <c r="E6" s="461" t="s">
        <v>153</v>
      </c>
      <c r="G6" s="461" t="s">
        <v>153</v>
      </c>
      <c r="H6" s="461" t="s">
        <v>153</v>
      </c>
      <c r="I6" s="461" t="s">
        <v>153</v>
      </c>
      <c r="K6" s="461" t="s">
        <v>153</v>
      </c>
      <c r="L6" s="461" t="s">
        <v>153</v>
      </c>
      <c r="M6" s="461" t="s">
        <v>153</v>
      </c>
    </row>
    <row r="7" spans="2:25">
      <c r="B7" s="777"/>
      <c r="C7" s="680" t="s">
        <v>115</v>
      </c>
      <c r="D7" s="680" t="s">
        <v>116</v>
      </c>
      <c r="E7" s="680" t="s">
        <v>117</v>
      </c>
      <c r="F7" s="681"/>
      <c r="G7" s="680" t="s">
        <v>115</v>
      </c>
      <c r="H7" s="680" t="s">
        <v>116</v>
      </c>
      <c r="I7" s="680" t="s">
        <v>117</v>
      </c>
      <c r="J7" s="682"/>
      <c r="K7" s="680" t="s">
        <v>115</v>
      </c>
      <c r="L7" s="680" t="s">
        <v>116</v>
      </c>
      <c r="M7" s="680" t="s">
        <v>117</v>
      </c>
    </row>
    <row r="8" spans="2:25">
      <c r="B8" s="777"/>
      <c r="C8" s="693">
        <v>0</v>
      </c>
      <c r="D8" s="693">
        <v>70</v>
      </c>
      <c r="E8" s="693">
        <v>250</v>
      </c>
      <c r="F8" s="681"/>
      <c r="G8" s="693">
        <v>0</v>
      </c>
      <c r="H8" s="693">
        <v>50</v>
      </c>
      <c r="I8" s="693">
        <v>125</v>
      </c>
      <c r="J8" s="682"/>
      <c r="K8" s="693">
        <v>0</v>
      </c>
      <c r="L8" s="693">
        <v>70</v>
      </c>
      <c r="M8" s="693">
        <v>115</v>
      </c>
    </row>
    <row r="9" spans="2:25">
      <c r="B9" s="777"/>
      <c r="C9" s="680" t="s">
        <v>118</v>
      </c>
      <c r="D9" s="680" t="s">
        <v>119</v>
      </c>
      <c r="E9" s="680" t="s">
        <v>268</v>
      </c>
      <c r="F9" s="681"/>
      <c r="G9" s="680" t="s">
        <v>118</v>
      </c>
      <c r="H9" s="680" t="s">
        <v>119</v>
      </c>
      <c r="I9" s="680" t="s">
        <v>268</v>
      </c>
      <c r="J9" s="682"/>
      <c r="K9" s="680" t="s">
        <v>118</v>
      </c>
      <c r="L9" s="680" t="s">
        <v>119</v>
      </c>
      <c r="M9" s="680" t="s">
        <v>268</v>
      </c>
    </row>
    <row r="10" spans="2:25">
      <c r="B10" s="777"/>
      <c r="C10" s="693">
        <v>0</v>
      </c>
      <c r="D10" s="693">
        <v>0</v>
      </c>
      <c r="E10" s="693">
        <v>0</v>
      </c>
      <c r="F10" s="681"/>
      <c r="G10" s="693">
        <v>0</v>
      </c>
      <c r="H10" s="693">
        <v>0</v>
      </c>
      <c r="I10" s="693">
        <v>0</v>
      </c>
      <c r="J10" s="682"/>
      <c r="K10" s="693">
        <v>0</v>
      </c>
      <c r="L10" s="693">
        <v>0</v>
      </c>
      <c r="M10" s="693">
        <v>0</v>
      </c>
    </row>
    <row r="11" spans="2:25">
      <c r="B11" s="777"/>
      <c r="C11" s="680" t="s">
        <v>121</v>
      </c>
      <c r="D11" s="680" t="s">
        <v>122</v>
      </c>
      <c r="E11" s="680" t="s">
        <v>123</v>
      </c>
      <c r="F11" s="681"/>
      <c r="G11" s="680" t="s">
        <v>121</v>
      </c>
      <c r="H11" s="680" t="s">
        <v>122</v>
      </c>
      <c r="I11" s="680" t="s">
        <v>123</v>
      </c>
      <c r="J11" s="682"/>
      <c r="K11" s="680" t="s">
        <v>121</v>
      </c>
      <c r="L11" s="680" t="s">
        <v>122</v>
      </c>
      <c r="M11" s="680" t="s">
        <v>123</v>
      </c>
    </row>
    <row r="12" spans="2:25">
      <c r="B12" s="777"/>
      <c r="C12" s="693">
        <v>0</v>
      </c>
      <c r="D12" s="693">
        <v>0</v>
      </c>
      <c r="E12" s="693">
        <v>0</v>
      </c>
      <c r="F12" s="773"/>
      <c r="G12" s="693">
        <v>0</v>
      </c>
      <c r="H12" s="693">
        <v>0</v>
      </c>
      <c r="I12" s="693">
        <v>0</v>
      </c>
      <c r="J12" s="787"/>
      <c r="K12" s="693">
        <v>0</v>
      </c>
      <c r="L12" s="693">
        <v>0</v>
      </c>
      <c r="M12" s="693">
        <v>0</v>
      </c>
    </row>
    <row r="13" spans="2:25">
      <c r="B13" s="777"/>
      <c r="C13" s="763"/>
      <c r="D13" s="461" t="s">
        <v>153</v>
      </c>
      <c r="E13" s="765"/>
      <c r="F13" s="766"/>
      <c r="G13" s="763"/>
      <c r="H13" s="461" t="s">
        <v>153</v>
      </c>
      <c r="I13" s="765"/>
      <c r="J13" s="767"/>
      <c r="K13" s="763"/>
      <c r="L13" s="461" t="s">
        <v>153</v>
      </c>
      <c r="M13" s="765"/>
    </row>
    <row r="14" spans="2:25">
      <c r="C14" s="783" t="s">
        <v>778</v>
      </c>
      <c r="D14" s="693">
        <v>15</v>
      </c>
      <c r="E14" s="765"/>
      <c r="F14" s="766"/>
      <c r="G14" s="763"/>
      <c r="H14" s="693">
        <v>10</v>
      </c>
      <c r="I14" s="765"/>
      <c r="J14" s="767"/>
      <c r="K14" s="763"/>
      <c r="L14" s="693">
        <v>5</v>
      </c>
      <c r="M14" s="765"/>
      <c r="O14" s="688" t="s">
        <v>439</v>
      </c>
    </row>
    <row r="15" spans="2:25">
      <c r="B15" s="777"/>
      <c r="C15" s="763"/>
      <c r="D15" s="764"/>
      <c r="E15" s="765"/>
      <c r="F15" s="766"/>
      <c r="G15" s="763"/>
      <c r="H15" s="764"/>
      <c r="I15" s="765"/>
      <c r="J15" s="767"/>
      <c r="K15" s="763"/>
      <c r="L15" s="764"/>
      <c r="M15" s="765"/>
      <c r="O15" s="688" t="s">
        <v>440</v>
      </c>
    </row>
    <row r="16" spans="2:25">
      <c r="B16" s="777"/>
      <c r="C16" s="763"/>
      <c r="D16" s="764"/>
      <c r="E16" s="765"/>
      <c r="F16" s="766"/>
      <c r="G16" s="763"/>
      <c r="H16" s="764"/>
      <c r="I16" s="765"/>
      <c r="J16" s="767"/>
      <c r="K16" s="763"/>
      <c r="L16" s="764"/>
      <c r="M16" s="765"/>
      <c r="O16" s="900" t="s">
        <v>438</v>
      </c>
    </row>
    <row r="17" spans="2:15">
      <c r="B17" s="779" t="s">
        <v>776</v>
      </c>
      <c r="C17" s="897" t="s">
        <v>777</v>
      </c>
      <c r="D17" s="898"/>
      <c r="E17" s="898"/>
      <c r="F17" s="898"/>
      <c r="G17" s="898"/>
      <c r="H17" s="898"/>
      <c r="I17" s="898"/>
      <c r="J17" s="898"/>
      <c r="K17" s="898"/>
      <c r="L17" s="898"/>
      <c r="M17" s="899"/>
      <c r="O17" s="900"/>
    </row>
    <row r="18" spans="2:15">
      <c r="B18" s="777"/>
      <c r="C18" s="461"/>
      <c r="D18" s="461"/>
      <c r="E18" s="461"/>
      <c r="G18" s="461"/>
      <c r="H18" s="461"/>
      <c r="I18" s="461"/>
      <c r="K18" s="461"/>
      <c r="L18" s="461"/>
      <c r="M18" s="461"/>
    </row>
    <row r="19" spans="2:15">
      <c r="B19" s="777"/>
      <c r="C19" s="770" t="s">
        <v>115</v>
      </c>
      <c r="D19" s="770" t="s">
        <v>116</v>
      </c>
      <c r="E19" s="770" t="s">
        <v>117</v>
      </c>
      <c r="F19" s="768"/>
      <c r="G19" s="770" t="s">
        <v>115</v>
      </c>
      <c r="H19" s="770" t="s">
        <v>116</v>
      </c>
      <c r="I19" s="770" t="s">
        <v>117</v>
      </c>
      <c r="J19" s="769"/>
      <c r="K19" s="770" t="s">
        <v>115</v>
      </c>
      <c r="L19" s="770" t="s">
        <v>116</v>
      </c>
      <c r="M19" s="770" t="s">
        <v>117</v>
      </c>
    </row>
    <row r="20" spans="2:15">
      <c r="B20" s="777"/>
      <c r="C20" s="577">
        <v>0</v>
      </c>
      <c r="D20" s="772">
        <f>IF(AND(D8&lt;20,'Crop Budget (Main)'!C14&lt;=150),105,IF(AND(D8&lt;20,'Crop Budget (Main)'!C14&lt;=200),120,IF(AND(D8&lt;20,'Crop Budget (Main)'!C14&lt;=250),140,IF(AND(D8&lt;20,'Crop Budget (Main)'!C14&lt;=300),155,IF(AND(D8&lt;30,'Crop Budget (Main)'!C14&lt;=150),80,IF(AND(D8&lt;30,'Crop Budget (Main)'!C14&lt;=200),95,IF(AND(D8&lt;30,'Crop Budget (Main)'!C14&lt;=250),115,IF(AND(D8&lt;30,'Crop Budget (Main)'!C14&lt;=300),130,IF(AND(D8&lt;80,'Crop Budget (Main)'!C14&lt;=150),55,IF(AND(D8&lt;80,'Crop Budget (Main)'!C14&lt;=200),70,IF(AND(D8&lt;80,'Crop Budget (Main)'!C14&lt;=250),90,IF(AND(D8&lt;80,'Crop Budget (Main)'!C14&lt;=300),105,IF(AND(D8&gt;=80,'Crop Budget (Main)'!C14&lt;=150),0,IF(AND(D8&gt;=80,'Crop Budget (Main)'!C14&lt;=200),0,IF(AND(D8&gt;=80,'Crop Budget (Main)'!C14&lt;=250),0,IF(AND(D8&gt;=80,'Crop Budget (Main)'!C14&lt;=300),0))))))))))))))))</f>
        <v>70</v>
      </c>
      <c r="E20" s="577">
        <f>IF(AND(E8&lt;=100,'Crop Budget (Main)'!C14&lt;=150,D14&lt;=5),95,IF(AND(E8&lt;=100,'Crop Budget (Main)'!C14&lt;=200,D14&lt;=5),10,IF(AND(E8&lt;=100,'Crop Budget (Main)'!C14&lt;=250,D14&lt;=5),115,IF(AND(E8&lt;=100,'Crop Budget (Main)'!C14&lt;=160,D14&lt;=5),125,IF(AND(E8&lt;=150,'Crop Budget (Main)'!C14&lt;=150,D14&lt;=5),60,IF(AND(E8&lt;=150,'Crop Budget (Main)'!C14&lt;=200,D14&lt;=5),70,IF(AND(E8&lt;=150,'Crop Budget (Main)'!C14&lt;=250,D14&lt;=5),80,IF(AND(E8&lt;=150,'Crop Budget (Main)'!C14&lt;=160,D14&lt;=5),90,IF(AND(E8&lt;=260,'Crop Budget (Main)'!C14&lt;=150,D14&lt;=5),30,IF(AND(E8&lt;=260,'Crop Budget (Main)'!C14&lt;=200,D14&lt;=5),40,IF(AND(E8&lt;=260,'Crop Budget (Main)'!C14&lt;=250,D14&lt;=5),50,IF(AND(E8&lt;=260,'Crop Budget (Main)'!C14&lt;=160,D14&lt;=5),60,IF(AND(E8&gt;=260,'Crop Budget (Main)'!C14&lt;=150,D14&lt;=5),0,IF(AND(E8&gt;=260,'Crop Budget (Main)'!C14&lt;=200,D14&lt;=5),0,IF(AND(E8&gt;=260,'Crop Budget (Main)'!C14&lt;=250,D14&lt;=5),0,IF(AND(E8&gt;=260,'Crop Budget (Main)'!C14&lt;=160,D14&lt;=5),0,IF(AND(E8&lt;=100,'Crop Budget (Main)'!C14&lt;=150,D14&gt;=6),155,IF(AND(E8&lt;=100,'Crop Budget (Main)'!C14&lt;=200,D14&gt;=6),165,IF(AND(E8&lt;=100,'Crop Budget (Main)'!C14&lt;=250,D14&gt;=6),175,IF(AND(E8&lt;=100,'Crop Budget (Main)'!C14&lt;=160,D14&gt;=6),185,IF(AND(E8&lt;=150,'Crop Budget (Main)'!C14&lt;=150,D14&gt;=6),110,IF(AND(E8&lt;=150,'Crop Budget (Main)'!C14&lt;=200,D14&gt;=6),120,IF(AND(E8&lt;=150,'Crop Budget (Main)'!C14&lt;=250,D14&gt;=6),130,IF(AND(E8&lt;=150,'Crop Budget (Main)'!C14&lt;=160,D14&gt;=6),140,IF(AND(E8&lt;=200,'Crop Budget (Main)'!C14&lt;=150,D14&gt;=6),65,IF(AND(E8&lt;=200,'Crop Budget (Main)'!C14&lt;=200,D14&gt;=6),75,IF(AND(E8&lt;=200,'Crop Budget (Main)'!C14&lt;=250,D14&gt;=6),85,IF(AND(E8&lt;=200,'Crop Budget (Main)'!C14&lt;=160,D14&gt;=6),95,IF(AND(E8&lt;=340,'Crop Budget (Main)'!C14&lt;=150,D14&gt;=6),30,IF(AND(E8&lt;=340,'Crop Budget (Main)'!C14&lt;=200,D14&gt;=6),40,IF(AND(E8&lt;=340,'Crop Budget (Main)'!C14&lt;=250,D14&gt;=6),50,IF(AND(E8&lt;=340,'Crop Budget (Main)'!C14&lt;=160,D14&gt;=6),60,IF(AND(E8&gt;=340,'Crop Budget (Main)'!C14&lt;=150,D14&gt;=6),0,IF(AND(E8&gt;=340,'Crop Budget (Main)'!C14&lt;=200,D14&gt;=6),0,IF(AND(E8&gt;=340,'Crop Budget (Main)'!C14&lt;=250,D14&gt;=6),0,IF(AND(E8&gt;=340,'Crop Budget (Main)'!C14&lt;=160,D14&gt;=6),0))))))))))))))))))))))))))))))))))))</f>
        <v>40</v>
      </c>
      <c r="F20" s="768"/>
      <c r="G20" s="577">
        <v>0</v>
      </c>
      <c r="H20" s="772">
        <f>IF(AND(H8&lt;20,'Crop Budget (Main)'!G14&lt;=30),75,IF(AND(H8&lt;20,'Crop Budget (Main)'!G14&lt;=50),90,IF(AND(H8&lt;20,'Crop Budget (Main)'!G14&lt;=70),105,IF(AND(H8&lt;20,'Crop Budget (Main)'!G14&lt;=90),120,IF(AND(H8&lt;30,'Crop Budget (Main)'!G14&lt;=30),50,IF(AND(H8&lt;30,'Crop Budget (Main)'!G14&lt;=50),65,IF(AND(H8&lt;30,'Crop Budget (Main)'!G14&lt;=70),80,IF(AND(H8&lt;30,'Crop Budget (Main)'!G14&lt;=90),95,IF(AND(H8&lt;80,'Crop Budget (Main)'!G14&lt;=30),25,IF(AND(H8&lt;80,'Crop Budget (Main)'!G14&lt;=50),40,IF(AND(H8&lt;80,'Crop Budget (Main)'!G14&lt;=70),55,IF(AND(H8&lt;80,'Crop Budget (Main)'!G14&lt;=90),70,IF(AND(H8&gt;=80,'Crop Budget (Main)'!G14&lt;=30),0,IF(AND(H8&gt;=80,'Crop Budget (Main)'!G14&lt;=50),0,IF(AND(H8&gt;=80,'Crop Budget (Main)'!G14&lt;=70),0,IF(AND(H8&gt;=80,'Crop Budget (Main)'!G14&lt;=90),0))))))))))))))))</f>
        <v>40</v>
      </c>
      <c r="I20" s="798">
        <f>IF(AND(I8&lt;=100,'Crop Budget (Main)'!G14&lt;=30,H14&lt;=5),95,IF(AND(I8&lt;=100,'Crop Budget (Main)'!G14&lt;=50,H14&lt;=5),120,IF(AND(I8&lt;=100,'Crop Budget (Main)'!G14&lt;=70,H14&lt;=5),145,IF(AND(I8&lt;=100,'Crop Budget (Main)'!G14&lt;=90,H14&lt;=5),165,IF(AND(I8&lt;=150,'Crop Budget (Main)'!G14&lt;=30,H14&lt;=5),65,IF(AND(I8&lt;=150,'Crop Budget (Main)'!G14&lt;=50,H14&lt;=5),90,IF(AND(I8&lt;=150,'Crop Budget (Main)'!G14&lt;=70,H14&lt;=5),110,IF(AND(I8&lt;=150,'Crop Budget (Main)'!G14&lt;=90,H14&lt;=5),135,IF(AND(I8&lt;=260,'Crop Budget (Main)'!G14&lt;=30,H14&lt;=5),35,IF(AND(I8&lt;=260,'Crop Budget (Main)'!G14&lt;=50,H14&lt;=5),60,IF(AND(I8&lt;=260,'Crop Budget (Main)'!G14&lt;=70,H14&lt;=5),80,IF(AND(I8&lt;=260,'Crop Budget (Main)'!G14&lt;=90,H14&lt;=5),105,IF(AND(I8&gt;=260,'Crop Budget (Main)'!G14&lt;=30,H14&lt;=5),0,IF(AND(I8&gt;=260,'Crop Budget (Main)'!G14&lt;=50,H14&lt;=5),0,IF(AND(I8&gt;=260,'Crop Budget (Main)'!G14&lt;=70,H14&lt;=5),0,IF(AND(I8&gt;=260,'Crop Budget (Main)'!G14&lt;=90,H14&lt;=5),0,IF(AND(I8&lt;=100,'Crop Budget (Main)'!G14&lt;=30,H14&gt;=6),155,IF(AND(I8&lt;=100,'Crop Budget (Main)'!G14&lt;=50,H14&gt;=6),180,IF(AND(I8&lt;=100,'Crop Budget (Main)'!G14&lt;=70,H14&gt;=6),205,IF(AND(I8&lt;=100,'Crop Budget (Main)'!G14&lt;=90,H14&gt;=6),225,IF(AND(I8&lt;=150,'Crop Budget (Main)'!G14&lt;=30,H14&gt;=6),115,IF(AND(I8&lt;=150,'Crop Budget (Main)'!G14&lt;=50,H14&gt;=6),135,IF(AND(I8&lt;=150,'Crop Budget (Main)'!G14&lt;=70,H14&gt;=6),160,IF(AND(I8&lt;=150,'Crop Budget (Main)'!G14&lt;=90,H14&gt;=6),180,IF(AND(I8&lt;=200,'Crop Budget (Main)'!G14&lt;=30,H14&gt;=6),70,IF(AND(I8&lt;=200,'Crop Budget (Main)'!G14&lt;=50,H14&gt;=6),95,IF(AND(I8&lt;=200,'Crop Budget (Main)'!G14&lt;=70,H14&gt;=6),115,IF(AND(I8&lt;=200,'Crop Budget (Main)'!G14&lt;=90,H14&gt;=6),140,IF(AND(I8&lt;=340,'Crop Budget (Main)'!G14&lt;=30,H14&gt;=6),35,IF(AND(I8&lt;=340,'Crop Budget (Main)'!G14&lt;=50,H14&gt;=6),60,IF(AND(I8&lt;=340,'Crop Budget (Main)'!G14&lt;=70,H14&gt;=6),80,IF(AND(I8&lt;=340,'Crop Budget (Main)'!G14&lt;=90,H14&gt;=6),105,IF(AND(I8&gt;=340,'Crop Budget (Main)'!G14&lt;=30,H14&gt;=6),0,IF(AND(I8&gt;=340,'Crop Budget (Main)'!G14&lt;=50,H14&gt;=6),0,IF(AND(I8&gt;=340,'Crop Budget (Main)'!G14&lt;=70,H14&gt;=6),0,IF(AND(I8&gt;=340,'Crop Budget (Main)'!G14&lt;=90,H14&gt;=6),0))))))))))))))))))))))))))))))))))))</f>
        <v>135</v>
      </c>
      <c r="J20" s="769"/>
      <c r="K20" s="577">
        <v>0</v>
      </c>
      <c r="L20" s="772">
        <f>IF(AND(L8&lt;20,'Crop Budget (Main)'!K14&lt;=60),130,IF(AND(L8&lt;20,'Crop Budget (Main)'!K14&lt;=90),145,IF(AND(L8&lt;20,'Crop Budget (Main)'!K14&lt;=120),160,IF(AND(L8&lt;20,'Crop Budget (Main)'!K14&lt;=150),175,IF(AND(L8&lt;40,'Crop Budget (Main)'!K14&lt;=60),80,IF(AND(L8&lt;40,'Crop Budget (Main)'!K14&lt;=90),95,IF(AND(L8&lt;40,'Crop Budget (Main)'!K14&lt;=120),110,IF(AND(L8&lt;40,'Crop Budget (Main)'!K14&lt;=150),125,IF(AND(L8&lt;100,'Crop Budget (Main)'!K14&lt;=60),30,IF(AND(L8&lt;100,'Crop Budget (Main)'!K14&lt;=90),45,IF(AND(L8&lt;100,'Crop Budget (Main)'!K14&lt;=120),60,IF(AND(L8&lt;100,'Crop Budget (Main)'!K14&lt;=150),75,IF(AND(L8&gt;=100,'Crop Budget (Main)'!K14&lt;=60),0,IF(AND(L8&gt;=100,'Crop Budget (Main)'!K14&lt;=90),0,IF(AND(L8&gt;=100,'Crop Budget (Main)'!K14&lt;=120),0,IF(AND(L8&gt;=100,'Crop Budget (Main)'!K14&lt;=150),0))))))))))))))))</f>
        <v>45</v>
      </c>
      <c r="M20" s="577">
        <f>IF(AND(M8&lt;=100,'Crop Budget (Main)'!K14&lt;=60,L14&lt;=5),80,IF(AND(M8&lt;=100,'Crop Budget (Main)'!K14&lt;=150,L14&lt;=5),85,IF(AND(M8&lt;=100,'Crop Budget (Main)'!K14&lt;=120,L14&lt;=5),95,IF(AND(M8&lt;=100,'Crop Budget (Main)'!K14&lt;=150,L14&lt;=5),100,IF(AND(M8&lt;=150,'Crop Budget (Main)'!K14&lt;=60,L14&lt;=5),45,IF(AND(M8&lt;=150,'Crop Budget (Main)'!K14&lt;=150,L14&lt;=5),55,IF(AND(M8&lt;=150,'Crop Budget (Main)'!K14&lt;=120,L14&lt;=5),60,IF(AND(M8&lt;=150,'Crop Budget (Main)'!K14&lt;=150,L14&lt;=5),70,IF(AND(M8&lt;=260,'Crop Budget (Main)'!K14&lt;=60,L14&lt;=5),15,IF(AND(M8&lt;=260,'Crop Budget (Main)'!K14&lt;=150,L14&lt;=5),25,IF(AND(M8&lt;=260,'Crop Budget (Main)'!K14&lt;=120,L14&lt;=5),30,IF(AND(M8&lt;=260,'Crop Budget (Main)'!K14&lt;=150,L14&lt;=5),40,IF(AND(M8&gt;=260,'Crop Budget (Main)'!K14&lt;=60,L14&lt;=5),0,IF(AND(M8&gt;=260,'Crop Budget (Main)'!K14&lt;=150,L14&lt;=5),0,IF(AND(M8&gt;=260,'Crop Budget (Main)'!K14&lt;=120,L14&lt;=5),0,IF(AND(M8&gt;=260,'Crop Budget (Main)'!K14&lt;=150,L14&lt;=5),0,IF(AND(M8&lt;=100,'Crop Budget (Main)'!K14&lt;=60,L14&gt;=6),140,IF(AND(M8&lt;=100,'Crop Budget (Main)'!K14&lt;=90,L14&gt;=6),145,IF(AND(M8&lt;=100,'Crop Budget (Main)'!K14&lt;=120,L14&gt;=6),155,IF(AND(M8&lt;=100,'Crop Budget (Main)'!K14&lt;=150,L14&gt;=6),160,IF(AND(M8&lt;=150,'Crop Budget (Main)'!K14&lt;=60,L14&gt;=6),95,IF(AND(M8&lt;=150,'Crop Budget (Main)'!K14&lt;=90,L14&gt;=6),100,IF(AND(M8&lt;=150,'Crop Budget (Main)'!K14&lt;=120,L14&gt;=6),110,IF(AND(M8&lt;=150,'Crop Budget (Main)'!K14&lt;=150,L14&gt;=6),160,IF(AND(M8&lt;=200,'Crop Budget (Main)'!K14&lt;=60,L14&gt;=6),50,IF(AND(M8&lt;=200,'Crop Budget (Main)'!K14&lt;=90,L14&gt;=6),60,IF(AND(M8&lt;=200,'Crop Budget (Main)'!K14&lt;=120,L14&gt;=6),65,IF(AND(M8&lt;=200,'Crop Budget (Main)'!K14&lt;=150,L14&gt;=6),75,IF(AND(M8&lt;=340,'Crop Budget (Main)'!K14&lt;=60,L14&gt;=6),15,IF(AND(M8&lt;=340,'Crop Budget (Main)'!K14&lt;=90,L14&gt;=6),25,IF(AND(M8&lt;=340,'Crop Budget (Main)'!K14&lt;=120,L14&gt;=6),30,IF(AND(M8&lt;=340,'Crop Budget (Main)'!K14&lt;=150,L14&gt;=6),40,IF(AND(M8&gt;=340,'Crop Budget (Main)'!K14&lt;=60,L14&gt;=6),0,IF(AND(M8&gt;=340,'Crop Budget (Main)'!K14&lt;=90,L14&gt;=6),0,IF(AND(M8&gt;=340,'Crop Budget (Main)'!K14&lt;=120,L14&gt;=6),0,IF(AND(M8&gt;=340,'Crop Budget (Main)'!K14&lt;=150,L14&gt;=6),0))))))))))))))))))))))))))))))))))))</f>
        <v>55</v>
      </c>
    </row>
    <row r="21" spans="2:15">
      <c r="B21" s="777"/>
      <c r="C21" s="770" t="s">
        <v>118</v>
      </c>
      <c r="D21" s="770" t="s">
        <v>119</v>
      </c>
      <c r="E21" s="770" t="s">
        <v>268</v>
      </c>
      <c r="F21" s="768"/>
      <c r="G21" s="770" t="s">
        <v>118</v>
      </c>
      <c r="H21" s="770" t="s">
        <v>119</v>
      </c>
      <c r="I21" s="770" t="s">
        <v>268</v>
      </c>
      <c r="J21" s="769"/>
      <c r="K21" s="770" t="s">
        <v>118</v>
      </c>
      <c r="L21" s="770" t="s">
        <v>119</v>
      </c>
      <c r="M21" s="770" t="s">
        <v>268</v>
      </c>
    </row>
    <row r="22" spans="2:15">
      <c r="B22" s="777"/>
      <c r="C22" s="577">
        <v>0</v>
      </c>
      <c r="D22" s="577">
        <v>0</v>
      </c>
      <c r="E22" s="577">
        <v>0</v>
      </c>
      <c r="F22" s="768"/>
      <c r="G22" s="577">
        <v>0</v>
      </c>
      <c r="H22" s="577">
        <v>0</v>
      </c>
      <c r="I22" s="577">
        <v>0</v>
      </c>
      <c r="J22" s="769"/>
      <c r="K22" s="577">
        <v>0</v>
      </c>
      <c r="L22" s="577">
        <v>0</v>
      </c>
      <c r="M22" s="577">
        <v>0</v>
      </c>
    </row>
    <row r="23" spans="2:15">
      <c r="B23" s="777"/>
      <c r="C23" s="770" t="s">
        <v>121</v>
      </c>
      <c r="D23" s="770" t="s">
        <v>122</v>
      </c>
      <c r="E23" s="770" t="s">
        <v>123</v>
      </c>
      <c r="F23" s="768"/>
      <c r="G23" s="770" t="s">
        <v>121</v>
      </c>
      <c r="H23" s="770" t="s">
        <v>122</v>
      </c>
      <c r="I23" s="770" t="s">
        <v>123</v>
      </c>
      <c r="J23" s="769"/>
      <c r="K23" s="770" t="s">
        <v>121</v>
      </c>
      <c r="L23" s="770" t="s">
        <v>122</v>
      </c>
      <c r="M23" s="770" t="s">
        <v>123</v>
      </c>
    </row>
    <row r="24" spans="2:15">
      <c r="B24" s="777"/>
      <c r="C24" s="577">
        <v>0</v>
      </c>
      <c r="D24" s="577">
        <v>0</v>
      </c>
      <c r="E24" s="577">
        <v>0</v>
      </c>
      <c r="F24" s="784"/>
      <c r="G24" s="577">
        <v>0</v>
      </c>
      <c r="H24" s="577">
        <v>0</v>
      </c>
      <c r="I24" s="577">
        <v>0</v>
      </c>
      <c r="J24" s="785"/>
      <c r="K24" s="577">
        <v>0</v>
      </c>
      <c r="L24" s="577">
        <v>0</v>
      </c>
      <c r="M24" s="577">
        <v>0</v>
      </c>
      <c r="O24" s="688" t="s">
        <v>439</v>
      </c>
    </row>
    <row r="25" spans="2:15">
      <c r="B25" s="777"/>
      <c r="C25" s="689"/>
      <c r="D25" s="690"/>
      <c r="E25" s="691"/>
      <c r="G25" s="689"/>
      <c r="H25" s="690"/>
      <c r="I25" s="691"/>
      <c r="K25" s="689"/>
      <c r="L25" s="690"/>
      <c r="M25" s="691"/>
      <c r="O25" s="688" t="s">
        <v>440</v>
      </c>
    </row>
    <row r="26" spans="2:15">
      <c r="B26" s="777"/>
      <c r="C26" s="689"/>
      <c r="D26" s="690"/>
      <c r="E26" s="691"/>
      <c r="G26" s="689"/>
      <c r="H26" s="690"/>
      <c r="I26" s="691"/>
      <c r="K26" s="689"/>
      <c r="L26" s="690"/>
      <c r="M26" s="691"/>
      <c r="O26" s="900" t="s">
        <v>438</v>
      </c>
    </row>
    <row r="27" spans="2:15">
      <c r="B27" s="781" t="s">
        <v>725</v>
      </c>
      <c r="C27" s="897" t="s">
        <v>731</v>
      </c>
      <c r="D27" s="898"/>
      <c r="E27" s="898"/>
      <c r="F27" s="898"/>
      <c r="G27" s="898"/>
      <c r="H27" s="898"/>
      <c r="I27" s="898"/>
      <c r="J27" s="898"/>
      <c r="K27" s="898"/>
      <c r="L27" s="898"/>
      <c r="M27" s="899"/>
      <c r="O27" s="900"/>
    </row>
    <row r="28" spans="2:15">
      <c r="B28" s="777"/>
      <c r="C28" s="689"/>
      <c r="D28" s="690"/>
      <c r="E28" s="691"/>
      <c r="G28" s="689"/>
      <c r="H28" s="690"/>
      <c r="I28" s="691"/>
      <c r="K28" s="689"/>
      <c r="L28" s="690"/>
      <c r="M28" s="691"/>
      <c r="O28" s="788"/>
    </row>
    <row r="29" spans="2:15">
      <c r="B29" s="777"/>
      <c r="C29" s="685" t="s">
        <v>115</v>
      </c>
      <c r="D29" s="685" t="s">
        <v>116</v>
      </c>
      <c r="E29" s="685" t="s">
        <v>117</v>
      </c>
      <c r="F29" s="684"/>
      <c r="G29" s="685" t="s">
        <v>115</v>
      </c>
      <c r="H29" s="685" t="s">
        <v>116</v>
      </c>
      <c r="I29" s="685" t="s">
        <v>117</v>
      </c>
      <c r="J29" s="684"/>
      <c r="K29" s="685" t="s">
        <v>115</v>
      </c>
      <c r="L29" s="685" t="s">
        <v>116</v>
      </c>
      <c r="M29" s="685" t="s">
        <v>117</v>
      </c>
      <c r="O29" s="788"/>
    </row>
    <row r="30" spans="2:15">
      <c r="B30" s="777"/>
      <c r="C30" s="572">
        <f>0.9*'Crop Budget (Main)'!C14</f>
        <v>141.66</v>
      </c>
      <c r="D30" s="572">
        <f>0.37*'Crop Budget (Main)'!C14</f>
        <v>58.238</v>
      </c>
      <c r="E30" s="572">
        <f>0.27*'Crop Budget (Main)'!C14</f>
        <v>42.498000000000005</v>
      </c>
      <c r="F30" s="110"/>
      <c r="G30" s="572">
        <f>3.8*'Crop Budget (Main)'!G14</f>
        <v>163.476</v>
      </c>
      <c r="H30" s="572">
        <f>0.8*'Crop Budget (Main)'!G14</f>
        <v>34.416000000000004</v>
      </c>
      <c r="I30" s="572">
        <f>1.4*'Crop Budget (Main)'!G14</f>
        <v>60.228000000000002</v>
      </c>
      <c r="J30" s="110"/>
      <c r="K30" s="572">
        <f>1.2*'Crop Budget (Main)'!K14</f>
        <v>82.644000000000005</v>
      </c>
      <c r="L30" s="572">
        <f>0.63*'Crop Budget (Main)'!K14</f>
        <v>43.388100000000001</v>
      </c>
      <c r="M30" s="572">
        <f>0.37*'Crop Budget (Main)'!K14</f>
        <v>25.481900000000003</v>
      </c>
      <c r="O30" s="788"/>
    </row>
    <row r="31" spans="2:15">
      <c r="B31" s="777"/>
      <c r="C31" s="685" t="s">
        <v>118</v>
      </c>
      <c r="D31" s="685" t="s">
        <v>119</v>
      </c>
      <c r="E31" s="685" t="s">
        <v>268</v>
      </c>
      <c r="F31" s="681"/>
      <c r="G31" s="685" t="s">
        <v>118</v>
      </c>
      <c r="H31" s="685" t="s">
        <v>119</v>
      </c>
      <c r="I31" s="685" t="s">
        <v>268</v>
      </c>
      <c r="J31" s="681"/>
      <c r="K31" s="685" t="s">
        <v>118</v>
      </c>
      <c r="L31" s="685" t="s">
        <v>119</v>
      </c>
      <c r="M31" s="685" t="s">
        <v>268</v>
      </c>
      <c r="O31" s="788"/>
    </row>
    <row r="32" spans="2:15">
      <c r="B32" s="777"/>
      <c r="C32" s="572">
        <f>0.08*'Crop Budget (Main)'!C14</f>
        <v>12.592000000000001</v>
      </c>
      <c r="D32" s="572">
        <f>0.01*'Crop Budget (Main)'!C14</f>
        <v>1.5740000000000001</v>
      </c>
      <c r="E32" s="572">
        <f>0.03*'Crop Budget (Main)'!C14</f>
        <v>4.7220000000000004</v>
      </c>
      <c r="F32" s="110"/>
      <c r="G32" s="572">
        <f>0.18*'Crop Budget (Main)'!G14</f>
        <v>7.7436000000000007</v>
      </c>
      <c r="H32" s="572">
        <f>0.15*'Crop Budget (Main)'!G14</f>
        <v>6.4530000000000003</v>
      </c>
      <c r="I32" s="572">
        <f>0.15*'Crop Budget (Main)'!G14</f>
        <v>6.4530000000000003</v>
      </c>
      <c r="J32" s="110"/>
      <c r="K32" s="572">
        <f>0.1*'Crop Budget (Main)'!K14</f>
        <v>6.8870000000000005</v>
      </c>
      <c r="L32" s="572">
        <f>0.03*'Crop Budget (Main)'!K14</f>
        <v>2.0661</v>
      </c>
      <c r="M32" s="572">
        <f>0.15*'Crop Budget (Main)'!K14</f>
        <v>10.330500000000001</v>
      </c>
      <c r="O32" s="788"/>
    </row>
    <row r="33" spans="2:21">
      <c r="B33" s="777"/>
      <c r="C33" s="685" t="s">
        <v>121</v>
      </c>
      <c r="D33" s="685" t="s">
        <v>122</v>
      </c>
      <c r="E33" s="685" t="s">
        <v>123</v>
      </c>
      <c r="F33" s="681"/>
      <c r="G33" s="685" t="s">
        <v>121</v>
      </c>
      <c r="H33" s="685" t="s">
        <v>122</v>
      </c>
      <c r="I33" s="685" t="s">
        <v>123</v>
      </c>
      <c r="J33" s="681"/>
      <c r="K33" s="685" t="s">
        <v>121</v>
      </c>
      <c r="L33" s="685" t="s">
        <v>122</v>
      </c>
      <c r="M33" s="685" t="s">
        <v>123</v>
      </c>
      <c r="O33" s="788"/>
    </row>
    <row r="34" spans="2:21">
      <c r="B34" s="777"/>
      <c r="C34" s="572">
        <f>(0.16/150)*'Crop Budget (Main)'!C14</f>
        <v>0.16789333333333334</v>
      </c>
      <c r="D34" s="572">
        <f>(0.36/150)*'Crop Budget (Main)'!C14</f>
        <v>0.37775999999999998</v>
      </c>
      <c r="E34" s="572">
        <f>(0.11/150)*'Crop Budget (Main)'!C14</f>
        <v>0.11542666666666668</v>
      </c>
      <c r="F34" s="110"/>
      <c r="G34" s="572">
        <f>(0.05/50)*'Crop Budget (Main)'!G14</f>
        <v>4.3020000000000003E-2</v>
      </c>
      <c r="H34" s="572">
        <f>(0.06/50)*'Crop Budget (Main)'!G14</f>
        <v>5.1623999999999996E-2</v>
      </c>
      <c r="I34" s="572">
        <f>(0.06/50)*'Crop Budget (Main)'!G14</f>
        <v>5.1623999999999996E-2</v>
      </c>
      <c r="J34" s="110"/>
      <c r="K34" s="572">
        <f>(0.2/75)*'Crop Budget (Main)'!K14</f>
        <v>0.18365333333333336</v>
      </c>
      <c r="L34" s="572">
        <f>(0.06/75)*'Crop Budget (Main)'!K14</f>
        <v>5.5095999999999999E-2</v>
      </c>
      <c r="M34" s="572">
        <f>(0.13/75)*'Crop Budget (Main)'!K14</f>
        <v>0.11937466666666668</v>
      </c>
      <c r="O34" s="688" t="s">
        <v>439</v>
      </c>
    </row>
    <row r="35" spans="2:21">
      <c r="B35" s="777"/>
      <c r="C35" s="689"/>
      <c r="D35" s="690"/>
      <c r="E35" s="690"/>
      <c r="G35" s="690"/>
      <c r="H35" s="690"/>
      <c r="I35" s="690"/>
      <c r="K35" s="690"/>
      <c r="L35" s="690"/>
      <c r="M35" s="691"/>
      <c r="O35" s="688" t="s">
        <v>440</v>
      </c>
    </row>
    <row r="36" spans="2:21">
      <c r="B36" s="777"/>
      <c r="C36" s="689"/>
      <c r="D36" s="690"/>
      <c r="E36" s="690"/>
      <c r="G36" s="690"/>
      <c r="H36" s="690"/>
      <c r="I36" s="690"/>
      <c r="K36" s="690"/>
      <c r="L36" s="690"/>
      <c r="M36" s="691"/>
      <c r="O36" s="900" t="s">
        <v>438</v>
      </c>
    </row>
    <row r="37" spans="2:21" ht="19.5" thickBot="1">
      <c r="B37" s="780" t="s">
        <v>724</v>
      </c>
      <c r="C37" s="897" t="s">
        <v>757</v>
      </c>
      <c r="D37" s="898"/>
      <c r="E37" s="898"/>
      <c r="F37" s="898"/>
      <c r="G37" s="898"/>
      <c r="H37" s="898"/>
      <c r="I37" s="898"/>
      <c r="J37" s="898"/>
      <c r="K37" s="898"/>
      <c r="L37" s="898"/>
      <c r="M37" s="899"/>
      <c r="O37" s="900"/>
      <c r="Q37" s="907" t="s">
        <v>758</v>
      </c>
      <c r="R37" s="907"/>
      <c r="S37" s="907"/>
    </row>
    <row r="38" spans="2:21" ht="18" customHeight="1" thickBot="1">
      <c r="B38" s="777"/>
      <c r="C38" s="461" t="s">
        <v>153</v>
      </c>
      <c r="D38" s="461" t="s">
        <v>153</v>
      </c>
      <c r="E38" s="461" t="s">
        <v>153</v>
      </c>
      <c r="G38" s="461" t="s">
        <v>153</v>
      </c>
      <c r="H38" s="461" t="s">
        <v>153</v>
      </c>
      <c r="I38" s="461" t="s">
        <v>153</v>
      </c>
      <c r="K38" s="461" t="s">
        <v>153</v>
      </c>
      <c r="L38" s="461" t="s">
        <v>153</v>
      </c>
      <c r="M38" s="461" t="s">
        <v>153</v>
      </c>
    </row>
    <row r="39" spans="2:21" ht="19.5" thickBot="1">
      <c r="B39" s="777"/>
      <c r="C39" s="683" t="s">
        <v>115</v>
      </c>
      <c r="D39" s="683" t="s">
        <v>116</v>
      </c>
      <c r="E39" s="683" t="s">
        <v>117</v>
      </c>
      <c r="F39" s="684"/>
      <c r="G39" s="683" t="s">
        <v>115</v>
      </c>
      <c r="H39" s="683" t="s">
        <v>116</v>
      </c>
      <c r="I39" s="683" t="s">
        <v>117</v>
      </c>
      <c r="J39" s="684"/>
      <c r="K39" s="683" t="s">
        <v>115</v>
      </c>
      <c r="L39" s="683" t="s">
        <v>116</v>
      </c>
      <c r="M39" s="683" t="s">
        <v>117</v>
      </c>
      <c r="Q39" s="894" t="s">
        <v>78</v>
      </c>
      <c r="R39" s="895"/>
      <c r="S39" s="896"/>
    </row>
    <row r="40" spans="2:21">
      <c r="B40" s="777"/>
      <c r="C40" s="693">
        <v>0</v>
      </c>
      <c r="D40" s="693">
        <v>0</v>
      </c>
      <c r="E40" s="693">
        <v>0</v>
      </c>
      <c r="F40" s="681"/>
      <c r="G40" s="693">
        <v>0</v>
      </c>
      <c r="H40" s="693">
        <v>60</v>
      </c>
      <c r="I40" s="693">
        <v>50</v>
      </c>
      <c r="J40" s="682"/>
      <c r="K40" s="693">
        <v>0</v>
      </c>
      <c r="L40" s="693">
        <v>0</v>
      </c>
      <c r="M40" s="693">
        <v>0</v>
      </c>
      <c r="Q40" s="705" t="s">
        <v>756</v>
      </c>
      <c r="R40" s="704"/>
      <c r="S40" s="701" t="s">
        <v>127</v>
      </c>
      <c r="T40" s="684" t="s">
        <v>11</v>
      </c>
      <c r="U40" s="684" t="s">
        <v>128</v>
      </c>
    </row>
    <row r="41" spans="2:21" ht="19.5" thickBot="1">
      <c r="B41" s="777"/>
      <c r="C41" s="683" t="s">
        <v>118</v>
      </c>
      <c r="D41" s="683" t="s">
        <v>119</v>
      </c>
      <c r="E41" s="683" t="s">
        <v>268</v>
      </c>
      <c r="F41" s="681"/>
      <c r="G41" s="683" t="s">
        <v>118</v>
      </c>
      <c r="H41" s="683" t="s">
        <v>119</v>
      </c>
      <c r="I41" s="683" t="s">
        <v>268</v>
      </c>
      <c r="J41" s="681"/>
      <c r="K41" s="683" t="s">
        <v>118</v>
      </c>
      <c r="L41" s="683" t="s">
        <v>119</v>
      </c>
      <c r="M41" s="683" t="s">
        <v>268</v>
      </c>
      <c r="Q41" s="902">
        <v>0</v>
      </c>
      <c r="R41" s="903"/>
      <c r="S41" s="702">
        <v>0</v>
      </c>
      <c r="T41" s="775" t="s">
        <v>35</v>
      </c>
      <c r="U41" s="776">
        <f>Q41*S41/'Crop Budget (Main)'!C15</f>
        <v>0</v>
      </c>
    </row>
    <row r="42" spans="2:21" ht="19.5" thickBot="1">
      <c r="B42" s="777"/>
      <c r="C42" s="693">
        <v>0</v>
      </c>
      <c r="D42" s="693">
        <v>0</v>
      </c>
      <c r="E42" s="693">
        <v>0</v>
      </c>
      <c r="F42" s="681"/>
      <c r="G42" s="693">
        <v>0</v>
      </c>
      <c r="H42" s="693">
        <v>0</v>
      </c>
      <c r="I42" s="693">
        <v>0</v>
      </c>
      <c r="J42" s="682"/>
      <c r="K42" s="693">
        <v>0</v>
      </c>
      <c r="L42" s="693">
        <v>0</v>
      </c>
      <c r="M42" s="693">
        <v>0</v>
      </c>
      <c r="Q42" s="894" t="s">
        <v>137</v>
      </c>
      <c r="R42" s="895"/>
      <c r="S42" s="896"/>
      <c r="T42" s="777"/>
      <c r="U42" s="777"/>
    </row>
    <row r="43" spans="2:21">
      <c r="B43" s="777"/>
      <c r="C43" s="683" t="s">
        <v>121</v>
      </c>
      <c r="D43" s="683" t="s">
        <v>122</v>
      </c>
      <c r="E43" s="683" t="s">
        <v>123</v>
      </c>
      <c r="F43" s="681"/>
      <c r="G43" s="683" t="s">
        <v>121</v>
      </c>
      <c r="H43" s="683" t="s">
        <v>122</v>
      </c>
      <c r="I43" s="683" t="s">
        <v>123</v>
      </c>
      <c r="J43" s="681"/>
      <c r="K43" s="683" t="s">
        <v>121</v>
      </c>
      <c r="L43" s="683" t="s">
        <v>122</v>
      </c>
      <c r="M43" s="683" t="s">
        <v>123</v>
      </c>
      <c r="Q43" s="705" t="s">
        <v>756</v>
      </c>
      <c r="R43" s="704"/>
      <c r="S43" s="701" t="s">
        <v>127</v>
      </c>
      <c r="T43" s="684" t="s">
        <v>11</v>
      </c>
      <c r="U43" s="684" t="s">
        <v>128</v>
      </c>
    </row>
    <row r="44" spans="2:21" ht="19.5" thickBot="1">
      <c r="B44" s="777"/>
      <c r="C44" s="687">
        <v>0</v>
      </c>
      <c r="D44" s="687">
        <v>0</v>
      </c>
      <c r="E44" s="687">
        <v>0</v>
      </c>
      <c r="F44" s="681"/>
      <c r="G44" s="687">
        <v>0</v>
      </c>
      <c r="H44" s="687">
        <v>0</v>
      </c>
      <c r="I44" s="687">
        <v>0</v>
      </c>
      <c r="J44" s="682"/>
      <c r="K44" s="687">
        <v>0</v>
      </c>
      <c r="L44" s="687">
        <v>0</v>
      </c>
      <c r="M44" s="687">
        <v>0</v>
      </c>
      <c r="O44" s="688" t="s">
        <v>439</v>
      </c>
      <c r="Q44" s="902">
        <v>0</v>
      </c>
      <c r="R44" s="903"/>
      <c r="S44" s="702">
        <v>0</v>
      </c>
      <c r="T44" s="775" t="s">
        <v>35</v>
      </c>
      <c r="U44" s="776">
        <f>Q44*S44/'Crop Budget (Main)'!G15</f>
        <v>0</v>
      </c>
    </row>
    <row r="45" spans="2:21" ht="19.5" thickBot="1">
      <c r="B45" s="777"/>
      <c r="C45" s="689"/>
      <c r="D45" s="690"/>
      <c r="E45" s="691"/>
      <c r="G45" s="689"/>
      <c r="H45" s="690"/>
      <c r="I45" s="691"/>
      <c r="K45" s="689"/>
      <c r="L45" s="690"/>
      <c r="M45" s="691"/>
      <c r="O45" s="688" t="s">
        <v>440</v>
      </c>
      <c r="Q45" s="894" t="s">
        <v>138</v>
      </c>
      <c r="R45" s="895"/>
      <c r="S45" s="896"/>
      <c r="T45" s="777"/>
      <c r="U45" s="777"/>
    </row>
    <row r="46" spans="2:21">
      <c r="B46" s="777"/>
      <c r="C46" s="689"/>
      <c r="D46" s="690"/>
      <c r="E46" s="691"/>
      <c r="G46" s="689"/>
      <c r="H46" s="690"/>
      <c r="I46" s="691"/>
      <c r="K46" s="689"/>
      <c r="L46" s="690"/>
      <c r="M46" s="691"/>
      <c r="O46" s="900" t="s">
        <v>438</v>
      </c>
      <c r="Q46" s="705" t="s">
        <v>756</v>
      </c>
      <c r="R46" s="704"/>
      <c r="S46" s="701" t="s">
        <v>127</v>
      </c>
      <c r="T46" s="684" t="s">
        <v>11</v>
      </c>
      <c r="U46" s="684" t="s">
        <v>128</v>
      </c>
    </row>
    <row r="47" spans="2:21">
      <c r="B47" s="782" t="s">
        <v>726</v>
      </c>
      <c r="C47" s="897" t="s">
        <v>727</v>
      </c>
      <c r="D47" s="898"/>
      <c r="E47" s="898"/>
      <c r="F47" s="898"/>
      <c r="G47" s="898"/>
      <c r="H47" s="898"/>
      <c r="I47" s="898"/>
      <c r="J47" s="898"/>
      <c r="K47" s="898"/>
      <c r="L47" s="898"/>
      <c r="M47" s="899"/>
      <c r="O47" s="900"/>
      <c r="Q47" s="904">
        <v>0</v>
      </c>
      <c r="R47" s="905"/>
      <c r="S47" s="702">
        <v>0</v>
      </c>
      <c r="T47" s="775" t="s">
        <v>35</v>
      </c>
      <c r="U47" s="776">
        <f>Q47*S47/'Crop Budget (Main)'!K15</f>
        <v>0</v>
      </c>
    </row>
    <row r="48" spans="2:21">
      <c r="B48" s="684"/>
      <c r="C48" s="689"/>
      <c r="D48" s="690"/>
      <c r="E48" s="691"/>
      <c r="G48" s="689"/>
      <c r="H48" s="690"/>
      <c r="I48" s="691"/>
      <c r="K48" s="689"/>
      <c r="L48" s="690"/>
      <c r="M48" s="691"/>
    </row>
    <row r="49" spans="2:17">
      <c r="B49" s="777"/>
      <c r="C49" s="570" t="s">
        <v>115</v>
      </c>
      <c r="D49" s="570" t="s">
        <v>116</v>
      </c>
      <c r="E49" s="570" t="s">
        <v>117</v>
      </c>
      <c r="F49" s="684"/>
      <c r="G49" s="694" t="s">
        <v>115</v>
      </c>
      <c r="H49" s="694" t="s">
        <v>116</v>
      </c>
      <c r="I49" s="694" t="s">
        <v>117</v>
      </c>
      <c r="J49" s="684"/>
      <c r="K49" s="694" t="s">
        <v>115</v>
      </c>
      <c r="L49" s="694" t="s">
        <v>116</v>
      </c>
      <c r="M49" s="694" t="s">
        <v>117</v>
      </c>
    </row>
    <row r="50" spans="2:17">
      <c r="C50" s="692">
        <f>MAX(0,IF(C8=0,C30,C20)-C40)</f>
        <v>141.66</v>
      </c>
      <c r="D50" s="692">
        <f>MAX(0,IF(D8=0,D30,D20)-D40)</f>
        <v>70</v>
      </c>
      <c r="E50" s="692">
        <f>MAX(0,IF(E8=0,E30,E20)-E40)</f>
        <v>40</v>
      </c>
      <c r="F50" s="110"/>
      <c r="G50" s="692">
        <f>MAX(0,IF(G8=0,G30,G20)-G40)</f>
        <v>163.476</v>
      </c>
      <c r="H50" s="692">
        <f>MAX(0,IF(H8=0,H30,H20)-H40)</f>
        <v>0</v>
      </c>
      <c r="I50" s="692">
        <f>MAX(0,IF(I8=0,I30,I20)-I40)</f>
        <v>85</v>
      </c>
      <c r="J50" s="110"/>
      <c r="K50" s="692">
        <f>MAX(0,IF(K8=0,K30,K20)-K40)</f>
        <v>82.644000000000005</v>
      </c>
      <c r="L50" s="692">
        <f>MAX(0,IF(L8=0,L30,L20)-L40)</f>
        <v>45</v>
      </c>
      <c r="M50" s="692">
        <f>MAX(0,IF(M8=0,M30,M20)-M40)</f>
        <v>55</v>
      </c>
      <c r="O50" s="788"/>
      <c r="P50" s="688"/>
      <c r="Q50" s="688"/>
    </row>
    <row r="51" spans="2:17">
      <c r="C51" s="694" t="s">
        <v>118</v>
      </c>
      <c r="D51" s="694" t="s">
        <v>119</v>
      </c>
      <c r="E51" s="694" t="s">
        <v>268</v>
      </c>
      <c r="F51" s="681"/>
      <c r="G51" s="694" t="s">
        <v>118</v>
      </c>
      <c r="H51" s="694" t="s">
        <v>119</v>
      </c>
      <c r="I51" s="694" t="s">
        <v>268</v>
      </c>
      <c r="J51" s="681"/>
      <c r="K51" s="694" t="s">
        <v>118</v>
      </c>
      <c r="L51" s="694" t="s">
        <v>119</v>
      </c>
      <c r="M51" s="694" t="s">
        <v>268</v>
      </c>
    </row>
    <row r="52" spans="2:17">
      <c r="C52" s="692">
        <f>MAX(0,IF(C10=0,C32,C22)-C42)</f>
        <v>12.592000000000001</v>
      </c>
      <c r="D52" s="692">
        <f>MAX(0,IF(D10=0,D32,D22)-D42)</f>
        <v>1.5740000000000001</v>
      </c>
      <c r="E52" s="692">
        <f>MAX(0,IF(E10=0,E32,E22)-E42)</f>
        <v>4.7220000000000004</v>
      </c>
      <c r="F52" s="110"/>
      <c r="G52" s="692">
        <f>MAX(0,IF(G10=0,G32,G22)-G42)</f>
        <v>7.7436000000000007</v>
      </c>
      <c r="H52" s="692">
        <f>MAX(0,IF(H10=0,H32,H22)-H42)</f>
        <v>6.4530000000000003</v>
      </c>
      <c r="I52" s="692">
        <f>MAX(0,IF(I10=0,I32,I22)-I42)</f>
        <v>6.4530000000000003</v>
      </c>
      <c r="J52" s="110"/>
      <c r="K52" s="692">
        <f>MAX(0,IF(K10=0,K32,K22)-K42)</f>
        <v>6.8870000000000005</v>
      </c>
      <c r="L52" s="692">
        <f>MAX(0,IF(L10=0,L32,L22)-L42)</f>
        <v>2.0661</v>
      </c>
      <c r="M52" s="692">
        <f>MAX(0,IF(M10=0,M32,M22)-M42)</f>
        <v>10.330500000000001</v>
      </c>
    </row>
    <row r="53" spans="2:17">
      <c r="C53" s="694" t="s">
        <v>121</v>
      </c>
      <c r="D53" s="694" t="s">
        <v>122</v>
      </c>
      <c r="E53" s="694" t="s">
        <v>123</v>
      </c>
      <c r="F53" s="681"/>
      <c r="G53" s="694" t="s">
        <v>121</v>
      </c>
      <c r="H53" s="694" t="s">
        <v>122</v>
      </c>
      <c r="I53" s="694" t="s">
        <v>123</v>
      </c>
      <c r="J53" s="681"/>
      <c r="K53" s="694" t="s">
        <v>121</v>
      </c>
      <c r="L53" s="694" t="s">
        <v>122</v>
      </c>
      <c r="M53" s="694" t="s">
        <v>123</v>
      </c>
    </row>
    <row r="54" spans="2:17">
      <c r="C54" s="692">
        <f>MAX(0,IF(C12=0,C34,C24)-C44)</f>
        <v>0.16789333333333334</v>
      </c>
      <c r="D54" s="692">
        <f>MAX(0,IF(D12=0,D34,D24)-D44)</f>
        <v>0.37775999999999998</v>
      </c>
      <c r="E54" s="692">
        <f>MAX(0,IF(E12=0,E34,E24)-E44)</f>
        <v>0.11542666666666668</v>
      </c>
      <c r="F54" s="786"/>
      <c r="G54" s="692">
        <f>MAX(0,IF(G12=0,G34,G24)-G44)</f>
        <v>4.3020000000000003E-2</v>
      </c>
      <c r="H54" s="692">
        <f>MAX(0,IF(H12=0,H34,H24)-H44)</f>
        <v>5.1623999999999996E-2</v>
      </c>
      <c r="I54" s="692">
        <f>MAX(0,IF(I12=0,I34,I24)-I44)</f>
        <v>5.1623999999999996E-2</v>
      </c>
      <c r="J54" s="786"/>
      <c r="K54" s="692">
        <f>MAX(0,IF(K12=0,K34,K24)-K44)</f>
        <v>0.18365333333333336</v>
      </c>
      <c r="L54" s="692">
        <f>MAX(0,IF(L12=0,L34,L24)-L44)</f>
        <v>5.5095999999999999E-2</v>
      </c>
      <c r="M54" s="692">
        <f>MAX(0,IF(M12=0,M34,M24)-M44)</f>
        <v>0.11937466666666668</v>
      </c>
    </row>
    <row r="56" spans="2:17">
      <c r="C56" s="901" t="s">
        <v>728</v>
      </c>
      <c r="D56" s="901"/>
      <c r="E56" s="901"/>
      <c r="F56" s="901"/>
      <c r="G56" s="901"/>
      <c r="H56" s="901"/>
      <c r="I56" s="901"/>
      <c r="J56" s="901"/>
      <c r="K56" s="901"/>
      <c r="L56" s="901"/>
      <c r="M56" s="901"/>
    </row>
    <row r="59" spans="2:17">
      <c r="F59" s="773"/>
      <c r="J59" s="773"/>
    </row>
    <row r="60" spans="2:17">
      <c r="C60" s="773"/>
      <c r="D60" s="773"/>
      <c r="E60" s="773"/>
      <c r="F60" s="774"/>
      <c r="G60" s="773"/>
      <c r="H60" s="773"/>
      <c r="I60" s="773"/>
      <c r="J60" s="774"/>
      <c r="K60" s="773"/>
      <c r="L60" s="773"/>
      <c r="M60" s="773"/>
    </row>
    <row r="61" spans="2:17">
      <c r="F61" s="774"/>
      <c r="J61" s="774"/>
    </row>
    <row r="62" spans="2:17">
      <c r="C62" s="773"/>
      <c r="D62" s="773"/>
      <c r="E62" s="773"/>
      <c r="F62" s="774"/>
      <c r="G62" s="773"/>
      <c r="H62" s="773"/>
      <c r="I62" s="773"/>
      <c r="J62" s="774"/>
      <c r="K62" s="773"/>
      <c r="L62" s="773"/>
      <c r="M62" s="773"/>
    </row>
    <row r="63" spans="2:17">
      <c r="F63" s="774"/>
      <c r="J63" s="774"/>
    </row>
  </sheetData>
  <sheetProtection algorithmName="SHA-512" hashValue="XVBAoip93fXt3jdGS5R23kLnC/bVk0fHWmWRdFRZqjnrtO3o+cc6BUbAQ+M+Ea0H+VcJ7zZNsmNjt0SM8/MB2g==" saltValue="cYOFAwLkhmdhklEnHcNkTQ==" spinCount="100000" sheet="1" objects="1" scenarios="1"/>
  <mergeCells count="22">
    <mergeCell ref="Q3:X3"/>
    <mergeCell ref="Q37:S37"/>
    <mergeCell ref="O16:O17"/>
    <mergeCell ref="O26:O27"/>
    <mergeCell ref="O36:O37"/>
    <mergeCell ref="O46:O47"/>
    <mergeCell ref="Q42:S42"/>
    <mergeCell ref="Q39:S39"/>
    <mergeCell ref="Q45:S45"/>
    <mergeCell ref="C56:M56"/>
    <mergeCell ref="Q41:R41"/>
    <mergeCell ref="Q44:R44"/>
    <mergeCell ref="Q47:R47"/>
    <mergeCell ref="C1:M1"/>
    <mergeCell ref="C3:E3"/>
    <mergeCell ref="G3:I3"/>
    <mergeCell ref="K3:M3"/>
    <mergeCell ref="C47:M47"/>
    <mergeCell ref="C17:M17"/>
    <mergeCell ref="C5:M5"/>
    <mergeCell ref="C37:M37"/>
    <mergeCell ref="C27:M27"/>
  </mergeCells>
  <phoneticPr fontId="72" type="noConversion"/>
  <conditionalFormatting sqref="U41">
    <cfRule type="dataBar" priority="3">
      <dataBar>
        <cfvo type="min"/>
        <cfvo type="max"/>
        <color rgb="FF63C384"/>
      </dataBar>
    </cfRule>
  </conditionalFormatting>
  <conditionalFormatting sqref="U44">
    <cfRule type="dataBar" priority="2">
      <dataBar>
        <cfvo type="min"/>
        <cfvo type="max"/>
        <color rgb="FF63C384"/>
      </dataBar>
    </cfRule>
  </conditionalFormatting>
  <conditionalFormatting sqref="U47">
    <cfRule type="dataBar" priority="1">
      <dataBar>
        <cfvo type="min"/>
        <cfvo type="max"/>
        <color rgb="FF63C384"/>
      </dataBar>
    </cfRule>
  </conditionalFormatting>
  <hyperlinks>
    <hyperlink ref="Q3" r:id="rId1" xr:uid="{4B12AF51-C487-497D-AC47-A0BD6D4B5054}"/>
    <hyperlink ref="Q4" r:id="rId2" xr:uid="{E87D6206-3004-4B2B-962B-675C53D37384}"/>
  </hyperlinks>
  <pageMargins left="0.7" right="0.7" top="0.75" bottom="0.75" header="0.3" footer="0.3"/>
  <pageSetup scale="51" orientation="portrait" r:id="rId3"/>
  <colBreaks count="1" manualBreakCount="1">
    <brk id="1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EDD6D-456A-4BFD-9C1C-10D27B34E02D}">
  <sheetPr codeName="Sheet5"/>
  <dimension ref="A1:D24"/>
  <sheetViews>
    <sheetView zoomScale="80" zoomScaleNormal="80" workbookViewId="0">
      <selection sqref="A1:XFD1048576"/>
    </sheetView>
  </sheetViews>
  <sheetFormatPr defaultColWidth="8.85546875" defaultRowHeight="18.75"/>
  <cols>
    <col min="1" max="16384" width="8.85546875" style="686"/>
  </cols>
  <sheetData>
    <row r="1" spans="1:3">
      <c r="A1" s="686">
        <v>9</v>
      </c>
      <c r="B1" s="686">
        <v>50</v>
      </c>
      <c r="C1" s="686" t="s">
        <v>779</v>
      </c>
    </row>
    <row r="2" spans="1:3">
      <c r="A2" s="686">
        <v>9</v>
      </c>
      <c r="B2" s="686">
        <v>100</v>
      </c>
      <c r="C2" s="686" t="s">
        <v>780</v>
      </c>
    </row>
    <row r="3" spans="1:3">
      <c r="A3" s="686">
        <v>9</v>
      </c>
      <c r="B3" s="686">
        <v>150</v>
      </c>
      <c r="C3" s="686" t="s">
        <v>781</v>
      </c>
    </row>
    <row r="4" spans="1:3">
      <c r="A4" s="686">
        <v>9</v>
      </c>
      <c r="B4" s="686">
        <v>235</v>
      </c>
    </row>
    <row r="5" spans="1:3">
      <c r="A5" s="686">
        <v>9</v>
      </c>
      <c r="B5" s="686">
        <v>260</v>
      </c>
    </row>
    <row r="6" spans="1:3">
      <c r="A6" s="686">
        <v>9</v>
      </c>
      <c r="B6" s="686">
        <v>280</v>
      </c>
    </row>
    <row r="7" spans="1:3">
      <c r="A7" s="686">
        <v>19</v>
      </c>
      <c r="B7" s="686">
        <v>50</v>
      </c>
      <c r="C7" s="686" t="s">
        <v>782</v>
      </c>
    </row>
    <row r="8" spans="1:3">
      <c r="A8" s="686">
        <v>19</v>
      </c>
      <c r="B8" s="686">
        <v>100</v>
      </c>
      <c r="C8" s="686" t="s">
        <v>783</v>
      </c>
    </row>
    <row r="9" spans="1:3">
      <c r="A9" s="686">
        <v>19</v>
      </c>
      <c r="B9" s="686">
        <v>150</v>
      </c>
      <c r="C9" s="686" t="s">
        <v>784</v>
      </c>
    </row>
    <row r="10" spans="1:3">
      <c r="A10" s="686">
        <v>19</v>
      </c>
      <c r="B10" s="686">
        <v>250</v>
      </c>
      <c r="C10" s="686" t="s">
        <v>788</v>
      </c>
    </row>
    <row r="11" spans="1:3">
      <c r="A11" s="686">
        <v>19</v>
      </c>
      <c r="B11" s="686">
        <v>280</v>
      </c>
    </row>
    <row r="12" spans="1:3">
      <c r="A12" s="686">
        <v>19</v>
      </c>
      <c r="B12" s="686">
        <v>300</v>
      </c>
    </row>
    <row r="13" spans="1:3">
      <c r="A13" s="686">
        <v>29</v>
      </c>
      <c r="B13" s="686">
        <v>100</v>
      </c>
      <c r="C13" s="686" t="s">
        <v>785</v>
      </c>
    </row>
    <row r="14" spans="1:3">
      <c r="A14" s="686">
        <v>29</v>
      </c>
      <c r="B14" s="686">
        <v>150</v>
      </c>
      <c r="C14" s="686" t="s">
        <v>786</v>
      </c>
    </row>
    <row r="15" spans="1:3">
      <c r="A15" s="686">
        <v>29</v>
      </c>
      <c r="B15" s="686">
        <v>250</v>
      </c>
      <c r="C15" s="686" t="s">
        <v>789</v>
      </c>
    </row>
    <row r="16" spans="1:3">
      <c r="A16" s="686">
        <v>29</v>
      </c>
      <c r="B16" s="686">
        <v>310</v>
      </c>
    </row>
    <row r="17" spans="1:4">
      <c r="A17" s="686">
        <v>29</v>
      </c>
      <c r="B17" s="686">
        <v>330</v>
      </c>
    </row>
    <row r="18" spans="1:4">
      <c r="A18" s="686">
        <v>29</v>
      </c>
      <c r="B18" s="686">
        <v>350</v>
      </c>
      <c r="D18" s="686" t="s">
        <v>787</v>
      </c>
    </row>
    <row r="19" spans="1:4">
      <c r="A19" s="686">
        <v>30</v>
      </c>
      <c r="B19" s="686">
        <v>150</v>
      </c>
    </row>
    <row r="20" spans="1:4">
      <c r="A20" s="686">
        <v>30</v>
      </c>
      <c r="B20" s="686">
        <v>200</v>
      </c>
    </row>
    <row r="21" spans="1:4">
      <c r="A21" s="686">
        <v>30</v>
      </c>
      <c r="B21" s="686">
        <v>250</v>
      </c>
    </row>
    <row r="22" spans="1:4">
      <c r="A22" s="686">
        <v>30</v>
      </c>
      <c r="B22" s="686">
        <v>360</v>
      </c>
    </row>
    <row r="23" spans="1:4">
      <c r="A23" s="686">
        <v>30</v>
      </c>
      <c r="B23" s="686">
        <v>380</v>
      </c>
    </row>
    <row r="24" spans="1:4">
      <c r="A24" s="686">
        <v>30</v>
      </c>
      <c r="B24" s="686">
        <v>400</v>
      </c>
    </row>
  </sheetData>
  <phoneticPr fontId="72"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6306B-D49A-4320-BFBC-7268225E31D0}">
  <sheetPr codeName="Sheet7"/>
  <dimension ref="A1:D24"/>
  <sheetViews>
    <sheetView zoomScale="80" zoomScaleNormal="80" workbookViewId="0">
      <selection activeCell="D18" sqref="D18"/>
    </sheetView>
  </sheetViews>
  <sheetFormatPr defaultColWidth="8.85546875" defaultRowHeight="18.75"/>
  <cols>
    <col min="1" max="16384" width="8.85546875" style="686"/>
  </cols>
  <sheetData>
    <row r="1" spans="1:3">
      <c r="A1" s="686">
        <v>9</v>
      </c>
      <c r="B1" s="686">
        <v>50</v>
      </c>
      <c r="C1" s="686" t="s">
        <v>790</v>
      </c>
    </row>
    <row r="2" spans="1:3">
      <c r="A2" s="686">
        <v>9</v>
      </c>
      <c r="B2" s="686">
        <v>100</v>
      </c>
      <c r="C2" s="686" t="s">
        <v>791</v>
      </c>
    </row>
    <row r="3" spans="1:3">
      <c r="A3" s="686">
        <v>9</v>
      </c>
      <c r="B3" s="686">
        <v>150</v>
      </c>
      <c r="C3" s="686" t="s">
        <v>792</v>
      </c>
    </row>
    <row r="4" spans="1:3">
      <c r="A4" s="686">
        <v>9</v>
      </c>
      <c r="B4" s="686">
        <v>235</v>
      </c>
    </row>
    <row r="5" spans="1:3">
      <c r="A5" s="686">
        <v>9</v>
      </c>
      <c r="B5" s="686">
        <v>260</v>
      </c>
    </row>
    <row r="6" spans="1:3">
      <c r="A6" s="686">
        <v>9</v>
      </c>
      <c r="B6" s="686">
        <v>280</v>
      </c>
    </row>
    <row r="7" spans="1:3">
      <c r="A7" s="686">
        <v>19</v>
      </c>
      <c r="B7" s="686">
        <v>50</v>
      </c>
      <c r="C7" s="686" t="s">
        <v>793</v>
      </c>
    </row>
    <row r="8" spans="1:3">
      <c r="A8" s="686">
        <v>19</v>
      </c>
      <c r="B8" s="686">
        <v>100</v>
      </c>
      <c r="C8" s="686" t="s">
        <v>794</v>
      </c>
    </row>
    <row r="9" spans="1:3">
      <c r="A9" s="686">
        <v>19</v>
      </c>
      <c r="B9" s="686">
        <v>150</v>
      </c>
      <c r="C9" s="686" t="s">
        <v>795</v>
      </c>
    </row>
    <row r="10" spans="1:3">
      <c r="A10" s="686">
        <v>19</v>
      </c>
      <c r="B10" s="686">
        <v>250</v>
      </c>
      <c r="C10" s="686" t="s">
        <v>796</v>
      </c>
    </row>
    <row r="11" spans="1:3">
      <c r="A11" s="686">
        <v>19</v>
      </c>
      <c r="B11" s="686">
        <v>280</v>
      </c>
    </row>
    <row r="12" spans="1:3">
      <c r="A12" s="686">
        <v>19</v>
      </c>
      <c r="B12" s="686">
        <v>300</v>
      </c>
    </row>
    <row r="13" spans="1:3">
      <c r="A13" s="686">
        <v>29</v>
      </c>
      <c r="B13" s="686">
        <v>100</v>
      </c>
      <c r="C13" s="686" t="s">
        <v>797</v>
      </c>
    </row>
    <row r="14" spans="1:3">
      <c r="A14" s="686">
        <v>29</v>
      </c>
      <c r="B14" s="686">
        <v>150</v>
      </c>
      <c r="C14" s="686" t="s">
        <v>798</v>
      </c>
    </row>
    <row r="15" spans="1:3">
      <c r="A15" s="686">
        <v>29</v>
      </c>
      <c r="B15" s="686">
        <v>250</v>
      </c>
      <c r="C15" s="686" t="s">
        <v>799</v>
      </c>
    </row>
    <row r="16" spans="1:3">
      <c r="A16" s="686">
        <v>29</v>
      </c>
      <c r="B16" s="686">
        <v>310</v>
      </c>
    </row>
    <row r="17" spans="1:4">
      <c r="A17" s="686">
        <v>29</v>
      </c>
      <c r="B17" s="686">
        <v>330</v>
      </c>
    </row>
    <row r="18" spans="1:4">
      <c r="A18" s="686">
        <v>29</v>
      </c>
      <c r="B18" s="686">
        <v>350</v>
      </c>
      <c r="D18" s="686" t="s">
        <v>800</v>
      </c>
    </row>
    <row r="19" spans="1:4">
      <c r="A19" s="686">
        <v>30</v>
      </c>
      <c r="B19" s="686">
        <v>150</v>
      </c>
    </row>
    <row r="20" spans="1:4">
      <c r="A20" s="686">
        <v>30</v>
      </c>
      <c r="B20" s="686">
        <v>200</v>
      </c>
    </row>
    <row r="21" spans="1:4">
      <c r="A21" s="686">
        <v>30</v>
      </c>
      <c r="B21" s="686">
        <v>250</v>
      </c>
    </row>
    <row r="22" spans="1:4">
      <c r="A22" s="686">
        <v>30</v>
      </c>
      <c r="B22" s="686">
        <v>360</v>
      </c>
    </row>
    <row r="23" spans="1:4">
      <c r="A23" s="686">
        <v>30</v>
      </c>
      <c r="B23" s="686">
        <v>380</v>
      </c>
    </row>
    <row r="24" spans="1:4">
      <c r="A24" s="686">
        <v>30</v>
      </c>
      <c r="B24" s="686">
        <v>400</v>
      </c>
    </row>
  </sheetData>
  <phoneticPr fontId="72"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B58FE-D99B-4669-9817-517CE45B56CA}">
  <sheetPr codeName="Sheet8"/>
  <dimension ref="A1:D24"/>
  <sheetViews>
    <sheetView topLeftCell="A16" zoomScale="80" zoomScaleNormal="80" workbookViewId="0">
      <selection activeCell="D18" sqref="D18"/>
    </sheetView>
  </sheetViews>
  <sheetFormatPr defaultColWidth="8.85546875" defaultRowHeight="18.75"/>
  <cols>
    <col min="1" max="16384" width="8.85546875" style="686"/>
  </cols>
  <sheetData>
    <row r="1" spans="1:3">
      <c r="A1" s="686">
        <v>9</v>
      </c>
      <c r="B1" s="686">
        <v>50</v>
      </c>
      <c r="C1" s="686" t="s">
        <v>802</v>
      </c>
    </row>
    <row r="2" spans="1:3">
      <c r="A2" s="686">
        <v>9</v>
      </c>
      <c r="B2" s="686">
        <v>100</v>
      </c>
      <c r="C2" s="686" t="s">
        <v>803</v>
      </c>
    </row>
    <row r="3" spans="1:3">
      <c r="A3" s="686">
        <v>9</v>
      </c>
      <c r="B3" s="686">
        <v>150</v>
      </c>
      <c r="C3" s="686" t="s">
        <v>804</v>
      </c>
    </row>
    <row r="4" spans="1:3">
      <c r="A4" s="686">
        <v>9</v>
      </c>
      <c r="B4" s="686">
        <v>235</v>
      </c>
    </row>
    <row r="5" spans="1:3">
      <c r="A5" s="686">
        <v>9</v>
      </c>
      <c r="B5" s="686">
        <v>260</v>
      </c>
    </row>
    <row r="6" spans="1:3">
      <c r="A6" s="686">
        <v>9</v>
      </c>
      <c r="B6" s="686">
        <v>280</v>
      </c>
    </row>
    <row r="7" spans="1:3">
      <c r="A7" s="686">
        <v>19</v>
      </c>
      <c r="B7" s="686">
        <v>50</v>
      </c>
      <c r="C7" s="686" t="s">
        <v>805</v>
      </c>
    </row>
    <row r="8" spans="1:3">
      <c r="A8" s="686">
        <v>19</v>
      </c>
      <c r="B8" s="686">
        <v>100</v>
      </c>
      <c r="C8" s="686" t="s">
        <v>806</v>
      </c>
    </row>
    <row r="9" spans="1:3">
      <c r="A9" s="686">
        <v>19</v>
      </c>
      <c r="B9" s="686">
        <v>150</v>
      </c>
      <c r="C9" s="686" t="s">
        <v>811</v>
      </c>
    </row>
    <row r="10" spans="1:3">
      <c r="A10" s="686">
        <v>19</v>
      </c>
      <c r="B10" s="686">
        <v>200</v>
      </c>
      <c r="C10" s="686" t="s">
        <v>807</v>
      </c>
    </row>
    <row r="11" spans="1:3">
      <c r="A11" s="686">
        <v>19</v>
      </c>
      <c r="B11" s="686">
        <v>280</v>
      </c>
    </row>
    <row r="12" spans="1:3">
      <c r="A12" s="686">
        <v>19</v>
      </c>
      <c r="B12" s="686">
        <v>300</v>
      </c>
    </row>
    <row r="13" spans="1:3">
      <c r="A13" s="686">
        <v>29</v>
      </c>
      <c r="B13" s="686">
        <v>100</v>
      </c>
      <c r="C13" s="686" t="s">
        <v>808</v>
      </c>
    </row>
    <row r="14" spans="1:3">
      <c r="A14" s="686">
        <v>29</v>
      </c>
      <c r="B14" s="686">
        <v>150</v>
      </c>
      <c r="C14" s="686" t="s">
        <v>809</v>
      </c>
    </row>
    <row r="15" spans="1:3">
      <c r="A15" s="686">
        <v>29</v>
      </c>
      <c r="B15" s="686">
        <v>200</v>
      </c>
      <c r="C15" s="686" t="s">
        <v>810</v>
      </c>
    </row>
    <row r="16" spans="1:3">
      <c r="A16" s="686">
        <v>29</v>
      </c>
      <c r="B16" s="686">
        <v>310</v>
      </c>
    </row>
    <row r="17" spans="1:4">
      <c r="A17" s="686">
        <v>29</v>
      </c>
      <c r="B17" s="686">
        <v>330</v>
      </c>
    </row>
    <row r="18" spans="1:4">
      <c r="A18" s="686">
        <v>29</v>
      </c>
      <c r="B18" s="686">
        <v>350</v>
      </c>
      <c r="D18" s="686" t="s">
        <v>812</v>
      </c>
    </row>
    <row r="19" spans="1:4">
      <c r="A19" s="686">
        <v>30</v>
      </c>
      <c r="B19" s="686">
        <v>150</v>
      </c>
    </row>
    <row r="20" spans="1:4">
      <c r="A20" s="686">
        <v>30</v>
      </c>
      <c r="B20" s="686">
        <v>200</v>
      </c>
    </row>
    <row r="21" spans="1:4">
      <c r="A21" s="686">
        <v>30</v>
      </c>
      <c r="B21" s="686">
        <v>250</v>
      </c>
    </row>
    <row r="22" spans="1:4">
      <c r="A22" s="686">
        <v>30</v>
      </c>
      <c r="B22" s="686">
        <v>360</v>
      </c>
    </row>
    <row r="23" spans="1:4">
      <c r="A23" s="686">
        <v>30</v>
      </c>
      <c r="B23" s="686">
        <v>380</v>
      </c>
    </row>
    <row r="24" spans="1:4">
      <c r="A24" s="686">
        <v>30</v>
      </c>
      <c r="B24" s="686">
        <v>400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68EFC1CEF359648BC0C8AD096DB2D41" ma:contentTypeVersion="12" ma:contentTypeDescription="Create a new document." ma:contentTypeScope="" ma:versionID="4fc0d4c6a28395942ee9929752abb974">
  <xsd:schema xmlns:xsd="http://www.w3.org/2001/XMLSchema" xmlns:xs="http://www.w3.org/2001/XMLSchema" xmlns:p="http://schemas.microsoft.com/office/2006/metadata/properties" xmlns:ns1="http://schemas.microsoft.com/sharepoint/v3" xmlns:ns3="c29a6e96-27cc-4888-9e32-aed5af49d252" targetNamespace="http://schemas.microsoft.com/office/2006/metadata/properties" ma:root="true" ma:fieldsID="f786f1ff3836f4364d3595335fa3a4e9" ns1:_="" ns3:_="">
    <xsd:import namespace="http://schemas.microsoft.com/sharepoint/v3"/>
    <xsd:import namespace="c29a6e96-27cc-4888-9e32-aed5af49d25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1:_ip_UnifiedCompliancePolicyProperties" minOccurs="0"/>
                <xsd:element ref="ns1:_ip_UnifiedCompliancePolicyUIAction"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9a6e96-27cc-4888-9e32-aed5af49d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522310-FB14-4E86-92B4-0E2BA8DC7145}">
  <ds:schemaRefs>
    <ds:schemaRef ds:uri="c29a6e96-27cc-4888-9e32-aed5af49d252"/>
    <ds:schemaRef ds:uri="http://schemas.microsoft.com/office/2006/metadata/properties"/>
    <ds:schemaRef ds:uri="http://purl.org/dc/dcmitype/"/>
    <ds:schemaRef ds:uri="http://purl.org/dc/terms/"/>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schemas.microsoft.com/sharepoint/v3"/>
    <ds:schemaRef ds:uri="http://www.w3.org/XML/1998/namespace"/>
  </ds:schemaRefs>
</ds:datastoreItem>
</file>

<file path=customXml/itemProps2.xml><?xml version="1.0" encoding="utf-8"?>
<ds:datastoreItem xmlns:ds="http://schemas.openxmlformats.org/officeDocument/2006/customXml" ds:itemID="{7A3E8564-6BED-488E-A209-093F6F82C7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29a6e96-27cc-4888-9e32-aed5af49d2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83D39B-EAA6-4B10-B800-E5E8AD176C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25</vt:i4>
      </vt:variant>
    </vt:vector>
  </HeadingPairs>
  <TitlesOfParts>
    <vt:vector size="44" baseType="lpstr">
      <vt:lpstr>Instructions</vt:lpstr>
      <vt:lpstr>Crop Budget (Main)</vt:lpstr>
      <vt:lpstr>Variable &amp; Fixed</vt:lpstr>
      <vt:lpstr>Chemical Plan</vt:lpstr>
      <vt:lpstr>Adjuvant Help Guide</vt:lpstr>
      <vt:lpstr>Nutrient Management</vt:lpstr>
      <vt:lpstr>Corn K Calculations</vt:lpstr>
      <vt:lpstr>Soybean K Calculations</vt:lpstr>
      <vt:lpstr>Wheat K Calculations</vt:lpstr>
      <vt:lpstr>Fertilizer Pricing</vt:lpstr>
      <vt:lpstr>Fertilizer Plan</vt:lpstr>
      <vt:lpstr>Loans &amp; Financing</vt:lpstr>
      <vt:lpstr>Capital &amp; Opportunity</vt:lpstr>
      <vt:lpstr>Gov't Payments</vt:lpstr>
      <vt:lpstr>Optimization</vt:lpstr>
      <vt:lpstr>Chemical List (Corn)</vt:lpstr>
      <vt:lpstr>Chemical List (Soys)</vt:lpstr>
      <vt:lpstr>Chemical List (Wheat)</vt:lpstr>
      <vt:lpstr>Charts</vt:lpstr>
      <vt:lpstr>CornAdjuvants</vt:lpstr>
      <vt:lpstr>CornFungicides</vt:lpstr>
      <vt:lpstr>CornInsecticides</vt:lpstr>
      <vt:lpstr>CornPostChemicals</vt:lpstr>
      <vt:lpstr>CornPreChemicals</vt:lpstr>
      <vt:lpstr>Foliars</vt:lpstr>
      <vt:lpstr>Lime</vt:lpstr>
      <vt:lpstr>Macronutrients</vt:lpstr>
      <vt:lpstr>Micronutrients</vt:lpstr>
      <vt:lpstr>NitrogenStabilizers</vt:lpstr>
      <vt:lpstr>'Capital &amp; Opportunity'!Print_Area</vt:lpstr>
      <vt:lpstr>'Chemical Plan'!Print_Area</vt:lpstr>
      <vt:lpstr>'Crop Budget (Main)'!Print_Area</vt:lpstr>
      <vt:lpstr>'Fertilizer Plan'!Print_Area</vt:lpstr>
      <vt:lpstr>'Fertilizer Pricing'!Print_Area</vt:lpstr>
      <vt:lpstr>Instructions!Print_Area</vt:lpstr>
      <vt:lpstr>'Loans &amp; Financing'!Print_Area</vt:lpstr>
      <vt:lpstr>Optimization!Print_Area</vt:lpstr>
      <vt:lpstr>SoybeanFungicides</vt:lpstr>
      <vt:lpstr>SoybeanInsecticides</vt:lpstr>
      <vt:lpstr>SoybeanPostChemicals</vt:lpstr>
      <vt:lpstr>SoybeanPreChemicals</vt:lpstr>
      <vt:lpstr>WheatChemicals</vt:lpstr>
      <vt:lpstr>WheatFungicides</vt:lpstr>
      <vt:lpstr>WheatInsecticides</vt:lpstr>
    </vt:vector>
  </TitlesOfParts>
  <Company>Michigan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LaPorte, Jonathan P.</dc:creator>
  <cp:lastModifiedBy>LaPorte, Jonathan</cp:lastModifiedBy>
  <cp:lastPrinted>2020-04-27T19:20:44Z</cp:lastPrinted>
  <dcterms:created xsi:type="dcterms:W3CDTF">2018-03-23T14:51:03Z</dcterms:created>
  <dcterms:modified xsi:type="dcterms:W3CDTF">2020-10-29T23:55:59Z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0x010100068EFC1CEF359648BC0C8AD096DB2D41</vt:lpwstr>
  </property>
</Properties>
</file>